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еречень с дифференц." sheetId="10" r:id="rId1"/>
  </sheets>
  <definedNames>
    <definedName name="_xlnm._FilterDatabase" localSheetId="0" hidden="1">'Перечень с дифференц.'!$A$14:$F$149</definedName>
  </definedNames>
  <calcPr calcId="145621"/>
</workbook>
</file>

<file path=xl/calcChain.xml><?xml version="1.0" encoding="utf-8"?>
<calcChain xmlns="http://schemas.openxmlformats.org/spreadsheetml/2006/main">
  <c r="L145" i="10" l="1"/>
  <c r="K145" i="10"/>
  <c r="L131" i="10" l="1"/>
  <c r="I177" i="10"/>
  <c r="I174" i="10"/>
  <c r="I159" i="10"/>
  <c r="I150" i="10"/>
  <c r="I175" i="10" l="1"/>
  <c r="I173" i="10"/>
  <c r="M172" i="10"/>
  <c r="K172" i="10"/>
  <c r="O157" i="10"/>
  <c r="K177" i="10"/>
  <c r="L116" i="10"/>
  <c r="J116" i="10"/>
  <c r="K89" i="10"/>
  <c r="I89" i="10"/>
  <c r="L88" i="10"/>
  <c r="J88" i="10"/>
  <c r="K55" i="10"/>
  <c r="M176" i="10"/>
  <c r="M175" i="10"/>
  <c r="M174" i="10"/>
  <c r="K176" i="10"/>
  <c r="K175" i="10"/>
  <c r="K174" i="10"/>
  <c r="K173" i="10"/>
  <c r="I176" i="10"/>
  <c r="G175" i="10"/>
  <c r="G173" i="10"/>
  <c r="G172" i="10"/>
  <c r="I172" i="10" l="1"/>
  <c r="E44" i="10"/>
  <c r="F44" i="10"/>
  <c r="G44" i="10"/>
  <c r="H44" i="10"/>
  <c r="I44" i="10"/>
  <c r="K44" i="10"/>
  <c r="M44" i="10"/>
  <c r="D44" i="10"/>
  <c r="E150" i="10"/>
  <c r="F150" i="10"/>
  <c r="K150" i="10"/>
  <c r="M150" i="10"/>
  <c r="D150" i="10"/>
  <c r="M165" i="10"/>
  <c r="M164" i="10" s="1"/>
  <c r="L25" i="10"/>
  <c r="N31" i="10"/>
  <c r="N72" i="10"/>
  <c r="L52" i="10"/>
  <c r="N121" i="10"/>
  <c r="N122" i="10"/>
  <c r="N25" i="10"/>
  <c r="E151" i="10"/>
  <c r="F151" i="10"/>
  <c r="G151" i="10"/>
  <c r="H151" i="10"/>
  <c r="I151" i="10"/>
  <c r="K151" i="10"/>
  <c r="M151" i="10"/>
  <c r="N151" i="10"/>
  <c r="J132" i="10"/>
  <c r="I94" i="10"/>
  <c r="G28" i="10"/>
  <c r="E28" i="10"/>
  <c r="I19" i="10"/>
  <c r="H19" i="10"/>
  <c r="D19" i="10"/>
  <c r="L144" i="10"/>
  <c r="N139" i="10"/>
  <c r="L139" i="10"/>
  <c r="N138" i="10"/>
  <c r="L137" i="10"/>
  <c r="N133" i="10"/>
  <c r="L121" i="10"/>
  <c r="N116" i="10"/>
  <c r="L115" i="10"/>
  <c r="L114" i="10"/>
  <c r="L113" i="10"/>
  <c r="L109" i="10"/>
  <c r="N88" i="10"/>
  <c r="L86" i="10"/>
  <c r="L85" i="10"/>
  <c r="L84" i="10"/>
  <c r="N77" i="10"/>
  <c r="L72" i="10"/>
  <c r="L68" i="10"/>
  <c r="L62" i="10"/>
  <c r="L51" i="10"/>
  <c r="L47" i="10"/>
  <c r="L41" i="10"/>
  <c r="N42" i="10"/>
  <c r="N36" i="10"/>
  <c r="L34" i="10"/>
  <c r="L31" i="10"/>
  <c r="L24" i="10"/>
  <c r="L18" i="10"/>
  <c r="K160" i="10" s="1"/>
  <c r="I158" i="10" l="1"/>
  <c r="I165" i="10"/>
  <c r="O162" i="10"/>
  <c r="K159" i="10"/>
  <c r="G160" i="10"/>
  <c r="G163" i="10"/>
  <c r="G158" i="10"/>
  <c r="D151" i="10"/>
  <c r="E146" i="10"/>
  <c r="F146" i="10"/>
  <c r="G146" i="10"/>
  <c r="H146" i="10"/>
  <c r="I146" i="10"/>
  <c r="K146" i="10"/>
  <c r="M146" i="10"/>
  <c r="D146" i="10"/>
  <c r="E140" i="10"/>
  <c r="F140" i="10"/>
  <c r="G140" i="10"/>
  <c r="H140" i="10"/>
  <c r="I140" i="10"/>
  <c r="K140" i="10"/>
  <c r="M140" i="10"/>
  <c r="D140" i="10"/>
  <c r="F134" i="10"/>
  <c r="J144" i="10"/>
  <c r="J143" i="10"/>
  <c r="J139" i="10"/>
  <c r="L133" i="10"/>
  <c r="J133" i="10"/>
  <c r="J131" i="10"/>
  <c r="J128" i="10"/>
  <c r="J120" i="10"/>
  <c r="J115" i="10"/>
  <c r="J114" i="10"/>
  <c r="E134" i="10"/>
  <c r="G134" i="10"/>
  <c r="H134" i="10"/>
  <c r="I134" i="10"/>
  <c r="K134" i="10"/>
  <c r="M134" i="10"/>
  <c r="D134" i="10"/>
  <c r="E125" i="10"/>
  <c r="F125" i="10"/>
  <c r="G125" i="10"/>
  <c r="H125" i="10"/>
  <c r="I125" i="10"/>
  <c r="K125" i="10"/>
  <c r="M125" i="10"/>
  <c r="D125" i="10"/>
  <c r="E117" i="10"/>
  <c r="F117" i="10"/>
  <c r="G117" i="10"/>
  <c r="H117" i="10"/>
  <c r="I117" i="10"/>
  <c r="K117" i="10"/>
  <c r="M117" i="10"/>
  <c r="D117" i="10"/>
  <c r="E110" i="10"/>
  <c r="F110" i="10"/>
  <c r="G110" i="10"/>
  <c r="H110" i="10"/>
  <c r="I110" i="10"/>
  <c r="K110" i="10"/>
  <c r="M110" i="10"/>
  <c r="N110" i="10"/>
  <c r="E102" i="10"/>
  <c r="F102" i="10"/>
  <c r="G102" i="10"/>
  <c r="H102" i="10"/>
  <c r="I102" i="10"/>
  <c r="K102" i="10"/>
  <c r="M102" i="10"/>
  <c r="D102" i="10"/>
  <c r="E98" i="10"/>
  <c r="F98" i="10"/>
  <c r="G98" i="10"/>
  <c r="H98" i="10"/>
  <c r="I98" i="10"/>
  <c r="K98" i="10"/>
  <c r="L98" i="10"/>
  <c r="M98" i="10"/>
  <c r="N98" i="10"/>
  <c r="H94" i="10"/>
  <c r="K94" i="10"/>
  <c r="M94" i="10"/>
  <c r="G94" i="10"/>
  <c r="F94" i="10"/>
  <c r="E94" i="10"/>
  <c r="D94" i="10"/>
  <c r="N94" i="10"/>
  <c r="L94" i="10"/>
  <c r="M89" i="10"/>
  <c r="H89" i="10"/>
  <c r="G89" i="10"/>
  <c r="F89" i="10"/>
  <c r="E89" i="10"/>
  <c r="D89" i="10"/>
  <c r="M78" i="10"/>
  <c r="K78" i="10"/>
  <c r="I78" i="10"/>
  <c r="F78" i="10"/>
  <c r="E78" i="10"/>
  <c r="D78" i="10"/>
  <c r="D69" i="10"/>
  <c r="N69" i="10"/>
  <c r="M69" i="10"/>
  <c r="M65" i="10"/>
  <c r="K65" i="10"/>
  <c r="I65" i="10"/>
  <c r="H65" i="10"/>
  <c r="G65" i="10"/>
  <c r="F65" i="10"/>
  <c r="E65" i="10"/>
  <c r="D65" i="10"/>
  <c r="N55" i="10"/>
  <c r="M55" i="10"/>
  <c r="I55" i="10"/>
  <c r="H55" i="10"/>
  <c r="G55" i="10"/>
  <c r="F55" i="10"/>
  <c r="E55" i="10"/>
  <c r="D55" i="10"/>
  <c r="N48" i="10"/>
  <c r="M48" i="10"/>
  <c r="L42" i="10"/>
  <c r="L44" i="10" s="1"/>
  <c r="J42" i="10"/>
  <c r="J44" i="10" s="1"/>
  <c r="M37" i="10"/>
  <c r="K37" i="10"/>
  <c r="I37" i="10"/>
  <c r="H37" i="10"/>
  <c r="G37" i="10"/>
  <c r="F37" i="10"/>
  <c r="E37" i="10"/>
  <c r="D37" i="10"/>
  <c r="M28" i="10"/>
  <c r="K28" i="10"/>
  <c r="I28" i="10"/>
  <c r="H28" i="10"/>
  <c r="F28" i="10"/>
  <c r="D28" i="10"/>
  <c r="M19" i="10"/>
  <c r="K19" i="10"/>
  <c r="G19" i="10"/>
  <c r="F19" i="10"/>
  <c r="E19" i="10"/>
  <c r="N125" i="10"/>
  <c r="N117" i="10"/>
  <c r="N102" i="10"/>
  <c r="L77" i="10"/>
  <c r="J77" i="10"/>
  <c r="N78" i="10"/>
  <c r="N146" i="10"/>
  <c r="N131" i="10"/>
  <c r="M163" i="10" s="1"/>
  <c r="N89" i="10"/>
  <c r="N28" i="10"/>
  <c r="L110" i="10"/>
  <c r="J110" i="10"/>
  <c r="L101" i="10"/>
  <c r="L102" i="10" s="1"/>
  <c r="J102" i="10"/>
  <c r="J97" i="10"/>
  <c r="J98" i="10" s="1"/>
  <c r="J92" i="10"/>
  <c r="J94" i="10" s="1"/>
  <c r="J86" i="10"/>
  <c r="J85" i="10"/>
  <c r="J84" i="10"/>
  <c r="J81" i="10"/>
  <c r="J76" i="10"/>
  <c r="J75" i="10"/>
  <c r="L138" i="10"/>
  <c r="J63" i="10"/>
  <c r="N19" i="10"/>
  <c r="J62" i="10"/>
  <c r="J59" i="10"/>
  <c r="J54" i="10"/>
  <c r="J51" i="10"/>
  <c r="J47" i="10"/>
  <c r="L36" i="10"/>
  <c r="K161" i="10" s="1"/>
  <c r="J36" i="10"/>
  <c r="N40" i="10"/>
  <c r="N44" i="10" s="1"/>
  <c r="J34" i="10"/>
  <c r="J22" i="10"/>
  <c r="J18" i="10"/>
  <c r="N37" i="10"/>
  <c r="I160" i="10"/>
  <c r="I161" i="10" l="1"/>
  <c r="I164" i="10" s="1"/>
  <c r="J150" i="10"/>
  <c r="I163" i="10"/>
  <c r="J151" i="10"/>
  <c r="M149" i="10"/>
  <c r="L117" i="10"/>
  <c r="M159" i="10"/>
  <c r="O159" i="10" s="1"/>
  <c r="L19" i="10"/>
  <c r="J146" i="10"/>
  <c r="J140" i="10"/>
  <c r="N134" i="10"/>
  <c r="K163" i="10"/>
  <c r="J19" i="10"/>
  <c r="J37" i="10"/>
  <c r="J55" i="10"/>
  <c r="J78" i="10"/>
  <c r="L140" i="10"/>
  <c r="J89" i="10"/>
  <c r="N140" i="10"/>
  <c r="J65" i="10"/>
  <c r="J28" i="10"/>
  <c r="L37" i="10"/>
  <c r="J134" i="10"/>
  <c r="J117" i="10"/>
  <c r="N64" i="10"/>
  <c r="M160" i="10" s="1"/>
  <c r="N150" i="10" l="1"/>
  <c r="N65" i="10"/>
  <c r="N149" i="10" s="1"/>
  <c r="O163" i="10"/>
  <c r="H72" i="10"/>
  <c r="H150" i="10" s="1"/>
  <c r="G72" i="10"/>
  <c r="L69" i="10"/>
  <c r="J69" i="10"/>
  <c r="L76" i="10"/>
  <c r="L128" i="10"/>
  <c r="L134" i="10" s="1"/>
  <c r="L120" i="10"/>
  <c r="L125" i="10" s="1"/>
  <c r="L81" i="10"/>
  <c r="L89" i="10" s="1"/>
  <c r="L75" i="10"/>
  <c r="L59" i="10"/>
  <c r="L22" i="10"/>
  <c r="F69" i="10"/>
  <c r="F48" i="10"/>
  <c r="G48" i="10"/>
  <c r="H48" i="10"/>
  <c r="I48" i="10"/>
  <c r="J48" i="10"/>
  <c r="K48" i="10"/>
  <c r="L48" i="10"/>
  <c r="G69" i="10"/>
  <c r="H69" i="10"/>
  <c r="I69" i="10"/>
  <c r="K69" i="10"/>
  <c r="L143" i="10"/>
  <c r="L146" i="10" s="1"/>
  <c r="L54" i="10"/>
  <c r="L55" i="10" s="1"/>
  <c r="G150" i="10" l="1"/>
  <c r="G177" i="10"/>
  <c r="F149" i="10"/>
  <c r="K149" i="10"/>
  <c r="L150" i="10"/>
  <c r="L151" i="10"/>
  <c r="I149" i="10"/>
  <c r="K158" i="10"/>
  <c r="L78" i="10"/>
  <c r="J125" i="10"/>
  <c r="J149" i="10" s="1"/>
  <c r="L65" i="10"/>
  <c r="G161" i="10"/>
  <c r="H78" i="10"/>
  <c r="H149" i="10" s="1"/>
  <c r="L28" i="10"/>
  <c r="G78" i="10"/>
  <c r="G149" i="10" s="1"/>
  <c r="D110" i="10"/>
  <c r="D98" i="10"/>
  <c r="E69" i="10"/>
  <c r="E48" i="10"/>
  <c r="D48" i="10"/>
  <c r="K165" i="10" l="1"/>
  <c r="O158" i="10"/>
  <c r="L149" i="10"/>
  <c r="E149" i="10"/>
  <c r="D149" i="10"/>
  <c r="O160" i="10"/>
  <c r="O161" i="10"/>
  <c r="K164" i="10" l="1"/>
  <c r="O164" i="10" s="1"/>
  <c r="O165" i="10"/>
</calcChain>
</file>

<file path=xl/comments1.xml><?xml version="1.0" encoding="utf-8"?>
<comments xmlns="http://schemas.openxmlformats.org/spreadsheetml/2006/main">
  <authors>
    <author>Автор</author>
  </authors>
  <commentList>
    <comment ref="G1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учета 3-х объектов: Кияик, Пибаньшур, Красногорское. С ними будет 43+2+14+3=62</t>
        </r>
      </text>
    </comment>
  </commentList>
</comments>
</file>

<file path=xl/sharedStrings.xml><?xml version="1.0" encoding="utf-8"?>
<sst xmlns="http://schemas.openxmlformats.org/spreadsheetml/2006/main" count="581" uniqueCount="263">
  <si>
    <t xml:space="preserve">Наименование автодороги </t>
  </si>
  <si>
    <t>Верхняя-Игра - Мишкино - гр.Татарстана</t>
  </si>
  <si>
    <t>Алнаши-Удм.Тоймобаш</t>
  </si>
  <si>
    <t>Дебесы - Уйвай</t>
  </si>
  <si>
    <t>Воткинск - Черная</t>
  </si>
  <si>
    <t>(Киясово-Ермолаево)-Мушак</t>
  </si>
  <si>
    <t>Муркозь-Омга-Ст.Омга</t>
  </si>
  <si>
    <t xml:space="preserve">Асановский совхоз-техникум - Черный Ключ </t>
  </si>
  <si>
    <t xml:space="preserve">Первомайский-Черепановка </t>
  </si>
  <si>
    <t xml:space="preserve">Кизнер-Муркозь Омга </t>
  </si>
  <si>
    <t xml:space="preserve">Гыбдан-Русская Коса </t>
  </si>
  <si>
    <t xml:space="preserve">(Игра-Селты-Сюмси-граница  Кировской области)-Копки-Уть-Сюмси  </t>
  </si>
  <si>
    <t>(Дебесы-Кез)-Чепык</t>
  </si>
  <si>
    <t>Балезино-Сергино</t>
  </si>
  <si>
    <t xml:space="preserve">Кез-Кулига-Карсовай  </t>
  </si>
  <si>
    <t>Тыловай-Верх. Шудзялуд</t>
  </si>
  <si>
    <t xml:space="preserve">(Алнаши-Варзи Ятчи)-Ляли- Шадрасак Кибья  </t>
  </si>
  <si>
    <t>(Можга-Бемыж)-Арвазь Пельга-Васильево</t>
  </si>
  <si>
    <t>Петропавлово-Балдейка</t>
  </si>
  <si>
    <t>Бадзимлуд-Зон-Орловское</t>
  </si>
  <si>
    <t xml:space="preserve">(Ува-Сюмси) -Силино-Верх Юс  </t>
  </si>
  <si>
    <t xml:space="preserve">Удугучин - Сырдяны </t>
  </si>
  <si>
    <t xml:space="preserve">Кыйлуд - Вишур </t>
  </si>
  <si>
    <t>(Ува-Вавож)-Лыстем</t>
  </si>
  <si>
    <t>(Вавож-Кильмезь)-Старое Жуё</t>
  </si>
  <si>
    <t>(Ува-Вавож)-ст.Вавож</t>
  </si>
  <si>
    <t>(Ува-Вавож-Лыстем)-Какмож-Итчи</t>
  </si>
  <si>
    <t>Ожги-Новые Какси</t>
  </si>
  <si>
    <t>Якшур-Бодья-Красногорское</t>
  </si>
  <si>
    <t>Старые Зятцы-Варавай-Кочиш</t>
  </si>
  <si>
    <t>Старые Зятцы-Узи</t>
  </si>
  <si>
    <t>Бабино - Коньки</t>
  </si>
  <si>
    <t>(Ижевск -Ува)-Сов.Никольское</t>
  </si>
  <si>
    <t>(Ижевск - Сарапул) - Сизево</t>
  </si>
  <si>
    <t>Казаково-Озерки</t>
  </si>
  <si>
    <t>(Яр-Укан-Юр)-Никольское</t>
  </si>
  <si>
    <t xml:space="preserve">(Сарапул-Киясово)-Косолапово    </t>
  </si>
  <si>
    <t xml:space="preserve">Горняк-Русский Пычас </t>
  </si>
  <si>
    <t xml:space="preserve">Бурино-Оросово-Эркешево </t>
  </si>
  <si>
    <t>(Воткинск-Шаркан-Гондырвай)-Козино</t>
  </si>
  <si>
    <t>Якшур-Бодья-Шаркан</t>
  </si>
  <si>
    <t>(Игра-Глазов) - ст.Люк</t>
  </si>
  <si>
    <t>(Якшур Бодья-Шаркан)-Сюрсовай</t>
  </si>
  <si>
    <t>(Игра-Селты-Сюмси-граница Кировской области) -Гура - Зятцы</t>
  </si>
  <si>
    <t>(Игра-Глазов-Андрейшур) - Воегурт - Пибаньшур</t>
  </si>
  <si>
    <t>Алнашский район</t>
  </si>
  <si>
    <t>ИТОГО:</t>
  </si>
  <si>
    <t>Балезинский район</t>
  </si>
  <si>
    <t>Воткинский район</t>
  </si>
  <si>
    <t>Вавожский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</si>
  <si>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</si>
  <si>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</si>
  <si>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</si>
  <si>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</si>
  <si>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Кезский  район</t>
  </si>
  <si>
    <t>Кизнерский район</t>
  </si>
  <si>
    <t>Киясовский район</t>
  </si>
  <si>
    <t>Красногорский район</t>
  </si>
  <si>
    <t>Можгинский район</t>
  </si>
  <si>
    <t>Селтинский район</t>
  </si>
  <si>
    <t>Сюмсинский район</t>
  </si>
  <si>
    <t>Увинский район</t>
  </si>
  <si>
    <t>Шарканский район</t>
  </si>
  <si>
    <t>Якшур-Бодьинский район</t>
  </si>
  <si>
    <t>Ярский район</t>
  </si>
  <si>
    <t>Принадлежность</t>
  </si>
  <si>
    <t>-</t>
  </si>
  <si>
    <t>Бадзимошур-Котегурт</t>
  </si>
  <si>
    <t>Бурино-Чепца-Полом-Кез</t>
  </si>
  <si>
    <t>Саркуз-Новая Пандерка-п.140 кв.</t>
  </si>
  <si>
    <t>(Ува - Мушковай - Т. Пушкари)-Пужмесь-Тукля</t>
  </si>
  <si>
    <t>Окружная г.Ижевска-п. Сокол</t>
  </si>
  <si>
    <t>(Ижевск -Ува) - ст. Постол</t>
  </si>
  <si>
    <t>Примечание</t>
  </si>
  <si>
    <t>(Як-Бодья - Шаркан) - Старые Быги</t>
  </si>
  <si>
    <t xml:space="preserve">( Ува-Вавож-Старая Чунча)-Тимошур Чунча </t>
  </si>
  <si>
    <t>Старые Быги-Нижние Быги</t>
  </si>
  <si>
    <t>Перечень автомобильных дорог, по которым отсутствует или затруднен проезд в период распутицы</t>
  </si>
  <si>
    <t>ВСЕГО</t>
  </si>
  <si>
    <t>(Игра-Глазов)-Андрейшур</t>
  </si>
  <si>
    <t>а/б (ц/б)</t>
  </si>
  <si>
    <t>гравий (грунт)</t>
  </si>
  <si>
    <t>2018 г.</t>
  </si>
  <si>
    <t>2019 г.</t>
  </si>
  <si>
    <t>Протяженность по титулу, км</t>
  </si>
  <si>
    <t>км</t>
  </si>
  <si>
    <t>МТиДХ</t>
  </si>
  <si>
    <t>МО</t>
  </si>
  <si>
    <t xml:space="preserve">Ува - Мушковай - Тюлькино Пушкари </t>
  </si>
  <si>
    <t xml:space="preserve">Клабуки-Большой Селег </t>
  </si>
  <si>
    <t>Чумой-Узырмон</t>
  </si>
  <si>
    <t>2020 г.</t>
  </si>
  <si>
    <t>протяженность в неудовл. состоянии</t>
  </si>
  <si>
    <t>∑</t>
  </si>
  <si>
    <t>ДОЖИТ.</t>
  </si>
  <si>
    <t>ГОД</t>
  </si>
  <si>
    <t>ПСД</t>
  </si>
  <si>
    <t>чис.нас. 337 чел.</t>
  </si>
  <si>
    <t>чис.нас. 85 чел.</t>
  </si>
  <si>
    <t>чис.нас. 174 чел., Ш</t>
  </si>
  <si>
    <t>чис.нас. 588 чел.</t>
  </si>
  <si>
    <t>чис.нас. 390 чел., Ш, обращения жителей, стабил.</t>
  </si>
  <si>
    <t>чис.нас.150 чел.</t>
  </si>
  <si>
    <t>чис.нас.49 чел.</t>
  </si>
  <si>
    <t>чис.нас.40 чел.</t>
  </si>
  <si>
    <t>чис.нас.37 чел.</t>
  </si>
  <si>
    <t>чис.нас. 240 чел., Ш, обращ.жит.; нефтяники, стабил.</t>
  </si>
  <si>
    <t>чис.нас.166 чел.</t>
  </si>
  <si>
    <t>чис.нас.166 чел., Ш</t>
  </si>
  <si>
    <t>чис.нас.260 чел.</t>
  </si>
  <si>
    <t>чис.нас.57 чел.</t>
  </si>
  <si>
    <t>чис.нас.230 чел</t>
  </si>
  <si>
    <t>чис.нас. 46 чел</t>
  </si>
  <si>
    <t>чис.нас. 377 чел; Ш, необходима разработка ПСД 6 млн</t>
  </si>
  <si>
    <t>чис.нас. 382 чел, Ш</t>
  </si>
  <si>
    <t>чис.нас. 160 чел, Ш</t>
  </si>
  <si>
    <t>Числ.нас. 18 чел,обращение Адм., необ.разр.,ПСД 4 млн</t>
  </si>
  <si>
    <t>чис.нас.893чел.</t>
  </si>
  <si>
    <t>числ.нас.337 чел.</t>
  </si>
  <si>
    <t>числ.нас.244чел.</t>
  </si>
  <si>
    <t>числ.нас.178чел.</t>
  </si>
  <si>
    <t>числ.нас.157чел.</t>
  </si>
  <si>
    <t>Старая Омга 90 чел; Ш, необх.разр.ПСД 3,8 млн</t>
  </si>
  <si>
    <t>числ.нас.18 чел, Ш\</t>
  </si>
  <si>
    <t>числ.нас.18 чел, Ш</t>
  </si>
  <si>
    <t>Карамаз Пельга 233 чел., рек-ция плотины, ПСД имеется, Экспертиза 2016 года, Ш, обращ.жит.; нефтяники</t>
  </si>
  <si>
    <t>чис.нас. 56 чел</t>
  </si>
  <si>
    <t>чис.нас.474 чел., Ш, стабил.</t>
  </si>
  <si>
    <t>чис.нас.198 чел., Ш, обращ.жит.,лесники</t>
  </si>
  <si>
    <t>чис.нас. 310 чел., Ш, обращ.жит.,лесники</t>
  </si>
  <si>
    <t>чис.нас. 639чел., Ш,</t>
  </si>
  <si>
    <t>чис.нас. 56 чел.</t>
  </si>
  <si>
    <t>Варавай 288 чел, Даниловцы 50 чел; треб.разработка ПСД 6 млн</t>
  </si>
  <si>
    <t>Озерки 159 чел; треб.разработка ПСД 8,5 млн</t>
  </si>
  <si>
    <t>Чис.нас. 251 чел.</t>
  </si>
  <si>
    <t>чис.нас.436 чел., Ш</t>
  </si>
  <si>
    <t>чис.нас.179 чел., Ш</t>
  </si>
  <si>
    <t>чис.нас.179 чел., Ш, ПСД имеется экспертиза 2017 г.</t>
  </si>
  <si>
    <t>Пужмесь Тукля 101 чел; необ.разр.ПСД 6,7 млн</t>
  </si>
  <si>
    <t>(Кез-Кулига-Карсовай)-Жерноково-Желонка</t>
  </si>
  <si>
    <t>Люк - Большое Сазаново - Малое Сазаново</t>
  </si>
  <si>
    <t>ст.Кияик-Большой Кияик</t>
  </si>
  <si>
    <t>Кез-Сыга2-Сыга3</t>
  </si>
  <si>
    <t>чис.нас. 431 чел., Ш.</t>
  </si>
  <si>
    <t>чис.нас. 232 чел.</t>
  </si>
  <si>
    <t>д.Ляли -СПК "Колос", заезд в санаторий Варзи Ятчи; д.Шадрасак Кибья - СПК "Колос"</t>
  </si>
  <si>
    <t>д.Черный ключ - конезавод ИП "Сергеев"</t>
  </si>
  <si>
    <t xml:space="preserve">д.Удмуртский Тоймобаш - ферма, карьер предприятие "Сельхозхимия" </t>
  </si>
  <si>
    <t>СПК "Сергинский"</t>
  </si>
  <si>
    <t>СПК ООО"Восход"</t>
  </si>
  <si>
    <t>СПК "Родина"</t>
  </si>
  <si>
    <t>Республиканская психоневрологическая больница №3; ИП"Петров А.А." деревообработка древесины; "Дары Удмуртии" - хлебопекарня</t>
  </si>
  <si>
    <t>ООО "Альянс Автогрупп" торфодобыча</t>
  </si>
  <si>
    <t>ИП "Лепихина Н." заготовка и распиловка древисины</t>
  </si>
  <si>
    <t>АКХ "Никольское" - сельскохозяйственное производство</t>
  </si>
  <si>
    <t>ООО "Лид" сельскохозяйственное производство</t>
  </si>
  <si>
    <t>Кулига туристический маршрут "Исток Камы"</t>
  </si>
  <si>
    <t>СПК "Труженик"</t>
  </si>
  <si>
    <t>КФХ "Бадерин О.В."</t>
  </si>
  <si>
    <t>ФКУ КП-11 УФСИН России по УР (исправительная колония-поселение)</t>
  </si>
  <si>
    <t>д.Тыловай -ООО"Тыловай", КФХ"Темп"; д.Верхний Шудзялуд - КФХ "Темп"</t>
  </si>
  <si>
    <t>д.Тольен - ИП Серебренников А.В., ООО"Надежда"; д.Чепык - ООО "Надежда"</t>
  </si>
  <si>
    <t>нет</t>
  </si>
  <si>
    <t xml:space="preserve"> СХП ООО"Авангард"</t>
  </si>
  <si>
    <t>ж/д станция, СХП ООО"Жуё-Можга"</t>
  </si>
  <si>
    <t>СХП ООО"Мир"</t>
  </si>
  <si>
    <t>куст "Роснефть" Мишкинское месторождение, КФХ"Поздерин А.Н., ИП Лошкарев - пилорама</t>
  </si>
  <si>
    <t>СХП ООО"Озерки плюс", туристический маршрут Городище Учка Кар (раскопки)</t>
  </si>
  <si>
    <t>д.Карамаз Пельга - туристический маршрут "Удмуртская изба", АО "Татритэкнефть" - добыча нефти, КФХ"Мазитова Эльза Рамильевна", КФХ "Мерзляков А.М." - овцеводство, пилорама</t>
  </si>
  <si>
    <t>Межрегиональная общественная организация "Клуб охотничьих собак", СХП ООО"Западный"</t>
  </si>
  <si>
    <t>д.Козино - ферма КРС, АО"Восход"; д.Порозово - АО"Восход", Молочно-товарная ферма</t>
  </si>
  <si>
    <t>д.Старые Быги - Туристический маршрут "Удмуртская деревня", АО"Восход", Молочно-товарная ферма;д.Нижний Казес - АО"Восход", Молочно-товарная ферма, свинокомплекс</t>
  </si>
  <si>
    <t>с.Сюрсовай - молочно-товарная ферма; д.Бередь - ИП "Гуменников В.И"- молочно-товарная ферма; д.Кулак-Кучес - ООО"Шиде"- молочно-товарная ферма; д.Бадьрово - СХК"Луч"- мол.товарная ферма; с.Вортчино - мол.-товарная ферма; д.Кесшур - нет пр-ва; д.Тыловыл СХК"Луч"- мол-товарная ферма</t>
  </si>
  <si>
    <t>с.Сосновка  -АО"Ошмес"; д.Новый Пашур - АО "Ошмес" молочно-товарная ферма; д.Ляльшур - АО"Ошмес"-мол.товарная ферма; д.Мувыр -мол.товарная ферма</t>
  </si>
  <si>
    <t>Гуринское лесничество</t>
  </si>
  <si>
    <t>Учебное хозяйство БПОУ УР "Сюмсинский техникум лесного и сельского хозяйства"</t>
  </si>
  <si>
    <t>д.Кочиш - ООО"Родина"; д.Варавай - ООО"Рассвет"; д.Зяглуд "Белкамнефть" - добыча нефти</t>
  </si>
  <si>
    <t>д.Старые Зятцы - ООО"Старозятцинское"; д.Узи (Селтинский район) - СПК"Звезда"</t>
  </si>
  <si>
    <t>д.Старые Зятцы - ООО "Старозятцинское"; с.Красногорское - ЗАО "Чепечкое НГДУ" - добыча нефти, ООО"Красногорское"- с/х предприятие, Красногорский ПУ филиал "Глазовлес" - заготовка, пеработка, ООО"Стройлессервис" - пилорама.</t>
  </si>
  <si>
    <t>ООО"Балезинская сортоиспытательная станция"</t>
  </si>
  <si>
    <t>д.Узырмон - ферма-телятник ООО"Мужбер"; д.Чумой - нет; д.Мужбер - ООО"Мужбер"</t>
  </si>
  <si>
    <t>с.Русский Пычас - Увадрев, ВостокСервис -заготовка древисины, ООО"Русский Пычас" -с/х; д.Мельниково - Фабрика "Красная Звезда" - заготовка древисины; д.Петухово - ООО"Петухово" - с/хдобыча торфа; с.Пычас - ООО"Оптовик" -  пищевое производство, ООО"Док",ИП Демин, ИП Пискунов - деревообработка, Торфопредприятие - металлообработка, добыча торфа, ООО"Аскор" -пр-во мяса индейки; д.Новая Бия - с/х; п.Горняк - ИП Шишлин - переработка мяса, ООО"Партнер" - добыча известняка, НПО"Норд" - химическое пр-во, КФК Карслян - с/х, добыча известняка; д.Лудзи-Шудзи - ИП Иванов С.М. - деревообработка, придорожный сервис, ИП Гагарин - деревообработка</t>
  </si>
  <si>
    <t>ст.Люк (пригородные поезда)</t>
  </si>
  <si>
    <t>заготовка древисины (рубка леса)</t>
  </si>
  <si>
    <t>ООО "Маяк", СПК Колхоз им.Мичурина</t>
  </si>
  <si>
    <t>млн. руб.</t>
  </si>
  <si>
    <t>с/х СПК "Победа"</t>
  </si>
  <si>
    <t xml:space="preserve">с/х - СПК "Колхоз им.Ленина"; ООО "УМКА", ИП Мулин П.В., ИП Безносов М.В. - металлообработка; Казенное учреждение социального обслуживания Удмуртской Республики "Социально-реабилитационный центр для несовершеннолетних Увинского района" </t>
  </si>
  <si>
    <t>с/х СПК "Свобода" (статус племенного хозяйства), молочно-товарная ферма; карьер ПГС ООО"Поршур"</t>
  </si>
  <si>
    <t>ИП Головлев - пилорама</t>
  </si>
  <si>
    <t>ИП Макаров, пилорама КХ</t>
  </si>
  <si>
    <t>ООО "Алькор-Агро"; ИП Полушин В.В., ИП Луппов А.А. - пилорамы</t>
  </si>
  <si>
    <t>д.Арвазь Пельга - ИП Максютин А.М.; с.Васильево -КФК Поташов Г.И.</t>
  </si>
  <si>
    <t>д.Русская Коса - ИП Балдин А.И. - пилорама; д.Гыбдан ИП Пивоваров В.В. - пилорама</t>
  </si>
  <si>
    <t xml:space="preserve"> ИП Петухов И.В., ИП Гильмутдинов М.Ф. - пилорамы</t>
  </si>
  <si>
    <t>СПК Гулейшур, Чепецкая мебельная фабрика</t>
  </si>
  <si>
    <t>АО "Белкамнефть"добыча нефти</t>
  </si>
  <si>
    <t>дер. Старая Бодья туристический маршрут "Абатские пещеры", ИП Гайффутдинов Р.Ф. -  частная пилорама</t>
  </si>
  <si>
    <t>чис.нас.2233чел. (МО "Кулигинское", Мысовское, Степаненское, Новоунтемское, , Ш, обращ.жит., стабил.</t>
  </si>
  <si>
    <t>нас. 94 чел., интен.движ., обращ.жит., тип 1С</t>
  </si>
  <si>
    <t>Сырдяны нас. 55 чел.</t>
  </si>
  <si>
    <t>6 нас. пунктов МО "Вортчинское" нас. 848 чел., Ш, интен.движ., нефтяники, тип 1С</t>
  </si>
  <si>
    <t>общ.чис.нас. 20 103 чел.</t>
  </si>
  <si>
    <t>2021 г.</t>
  </si>
  <si>
    <t>Дебесы-Шаркан</t>
  </si>
  <si>
    <t>(Ижевск-Ува)-Капустино</t>
  </si>
  <si>
    <t>Объездная с.Вавож</t>
  </si>
  <si>
    <t>чис.нас.5700 чел; а/д регионального значения</t>
  </si>
  <si>
    <t>чис.нас. 433 чел</t>
  </si>
  <si>
    <t>Молчаны-Фомино</t>
  </si>
  <si>
    <t>чис.нас.359 чел</t>
  </si>
  <si>
    <t>МО "Кыквинское" 610 чел, Ш</t>
  </si>
  <si>
    <t>Лака-Тыжма-Кочетло-гр.Кировской обл.</t>
  </si>
  <si>
    <t>числ.нас.15чел.</t>
  </si>
  <si>
    <t>Транзитный транспорт с Кировской обл.</t>
  </si>
  <si>
    <t>Орловский-граница Кировской области</t>
  </si>
  <si>
    <t xml:space="preserve">Кез-Старая Гыя-Медьма  </t>
  </si>
  <si>
    <t>Медьма 62 чел                                 Ст.Гыя 293 чел</t>
  </si>
  <si>
    <t>(Игра-Селты-Сюмси-граница Кировской области) -Кильмезь</t>
  </si>
  <si>
    <t>Норьинский монастырь</t>
  </si>
  <si>
    <t>Предприятия производства/ туризма</t>
  </si>
  <si>
    <t>С/Х (ФБ+РБ)</t>
  </si>
  <si>
    <t>РЕК РБ</t>
  </si>
  <si>
    <t>РЕМ РБ</t>
  </si>
  <si>
    <t>реконструкция из бюджета Удмуртской Республики (РЕК РБ)</t>
  </si>
  <si>
    <t>ремонт из бюджета Удмуртской Республики (РЕМ РБ)</t>
  </si>
  <si>
    <t>ремонт из бюджета Удмуртской Республики методом "стабилизации грунтового основания (СТАБ)</t>
  </si>
  <si>
    <t>реконструкция в рамках реализации ГП "Развития сельского хозяйства и регулирования рынков сельскохозяйственной продукции, сырья и продовольствия на 2013-2020 годы" (С/Х)</t>
  </si>
  <si>
    <t>СТАБ</t>
  </si>
  <si>
    <r>
      <t xml:space="preserve">вишур нас. 502 чел </t>
    </r>
    <r>
      <rPr>
        <b/>
        <sz val="8"/>
        <rFont val="Times New Roman"/>
        <family val="1"/>
        <charset val="204"/>
      </rPr>
      <t>а/б</t>
    </r>
  </si>
  <si>
    <t>№ п/п</t>
  </si>
  <si>
    <t>Чис.нас. 195 чел;Ш; ПСД разработка 2019 год</t>
  </si>
  <si>
    <t>чис.нас. 1300. Устройство покр.перенесено на 2019 год</t>
  </si>
  <si>
    <t>д.Воегурт - СПК "Чапаева"; д.Пибаньшур - в/ч РВСН № 25850, КФХ</t>
  </si>
  <si>
    <t>чис.нас.49 чел.,Ш, обращения жителей. План на 2018 г-8км, факт 4,3 км.</t>
  </si>
  <si>
    <t>транзитный транспорт</t>
  </si>
  <si>
    <t>КФХ</t>
  </si>
  <si>
    <t>чис.нас. 428 чел</t>
  </si>
  <si>
    <t>Сарапул-Воткинск</t>
  </si>
  <si>
    <t>чис.нас. 540 чел., Ш, контроль Адм.Президента РФ; стоимость в ценах 2018 года, ПСД на экспертизе</t>
  </si>
  <si>
    <t>а/д регионального значения; стоимость в ценах 2017 года; ПСД +, экспертиза+</t>
  </si>
  <si>
    <t>чис.нас.296 чел., обращ. Админ. МО; ПСД разрабатывается в 2019 году</t>
  </si>
  <si>
    <t>чис.нас.1419 чел., обращ.жит.; стоимость в ценах 2018 года, ПСД +, экспертиза+</t>
  </si>
  <si>
    <t>Сыга2 117 чел, Сыга3 66 чел; ПСД разрабатывается 2019 год</t>
  </si>
  <si>
    <t>Жерноково 39 чел, Желонка 25 чел; ПСД разрабатывается 2019 год</t>
  </si>
  <si>
    <t>чис.нас.223 чел., Ш, ПСД требуется корректировка</t>
  </si>
  <si>
    <t>с/х ООО "ФХ Ашихмина А.Н."; ООО "ФХ Актыбаева В.Е."; КФК Синцов Ю.Н.; полигон ТБО Увинского р-на</t>
  </si>
  <si>
    <t>население 62 человека Т.Чунча и 33 человека Ст.Чунча, обращ.жит.</t>
  </si>
  <si>
    <t>Козино 178 чел; Ш, ПСД разрабатывается в 2019</t>
  </si>
  <si>
    <t>стоиомсть в ценах 2016г. ПСД+, экспертиза +</t>
  </si>
  <si>
    <t>РБ</t>
  </si>
  <si>
    <t>ФБ</t>
  </si>
  <si>
    <t>кол-во объектов</t>
  </si>
  <si>
    <t>Старые Зятцы 1311 чел., Ш, обращ.жит. Стабил. Не принят ВСП - перенос исправл.на 2019 год</t>
  </si>
  <si>
    <t>КМ</t>
  </si>
  <si>
    <t>С/Х</t>
  </si>
  <si>
    <t>Батырево-Средняя Тыжма</t>
  </si>
  <si>
    <t>Сарапульский район</t>
  </si>
  <si>
    <t>Усть-Сарапулка-Непряха</t>
  </si>
  <si>
    <r>
      <t>АУЗ УР "Орловский районный санаторий для детей "Березка" МЗ УР с.Орловское; МКУ "Орловский</t>
    </r>
    <r>
      <rPr>
        <b/>
        <sz val="8"/>
        <rFont val="Times New Roman"/>
        <family val="1"/>
        <charset val="204"/>
      </rPr>
      <t xml:space="preserve"> детский дом"</t>
    </r>
    <r>
      <rPr>
        <sz val="8"/>
        <rFont val="Times New Roman"/>
        <family val="1"/>
        <charset val="204"/>
      </rPr>
      <t xml:space="preserve">; ООО ТПК "Аверс" - металлообработка; ИП Плетнев А.В. - переработка древесины; Зонское лесничество; ООО "Увадревхолдинг" </t>
    </r>
  </si>
  <si>
    <t>с/х СПК "Победа"; СПК "Колхоз Искра" д. Эрестем - Респуспубликанский туристический Маршрут "ЭРЕСТЕМ"</t>
  </si>
  <si>
    <t>выравнивающий слой</t>
  </si>
  <si>
    <t>мероприятия по обеспечению проезда в рамках действующих контрактов на содержание (СОДЕР)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</si>
</sst>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/>
    <xf numFmtId="164" fontId="5" fillId="0" borderId="0" xfId="0" applyNumberFormat="1" applyFont="1" applyBorder="1" applyAlignment="1"/>
    <xf numFmtId="165" fontId="3" fillId="6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right" vertical="center"/>
    </xf>
    <xf numFmtId="165" fontId="3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9" borderId="0" xfId="0" applyFill="1" applyBorder="1"/>
    <xf numFmtId="0" fontId="0" fillId="7" borderId="0" xfId="0" applyFill="1" applyBorder="1"/>
    <xf numFmtId="0" fontId="0" fillId="4" borderId="0" xfId="0" applyFill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3" fillId="6" borderId="14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165" fontId="13" fillId="2" borderId="4" xfId="0" applyNumberFormat="1" applyFont="1" applyFill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4" borderId="14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5" fontId="13" fillId="4" borderId="14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5" fontId="13" fillId="5" borderId="14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3" fillId="8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 wrapText="1"/>
    </xf>
    <xf numFmtId="165" fontId="3" fillId="5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 wrapText="1"/>
    </xf>
    <xf numFmtId="165" fontId="3" fillId="5" borderId="20" xfId="0" applyNumberFormat="1" applyFont="1" applyFill="1" applyBorder="1" applyAlignment="1">
      <alignment horizontal="center" vertical="center" wrapText="1"/>
    </xf>
    <xf numFmtId="165" fontId="3" fillId="8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65" fontId="0" fillId="0" borderId="0" xfId="0" applyNumberFormat="1" applyBorder="1"/>
    <xf numFmtId="165" fontId="6" fillId="0" borderId="1" xfId="0" applyNumberFormat="1" applyFont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165" fontId="5" fillId="1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18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4" fillId="10" borderId="4" xfId="0" applyNumberFormat="1" applyFont="1" applyFill="1" applyBorder="1" applyAlignment="1">
      <alignment horizontal="right" vertical="center"/>
    </xf>
    <xf numFmtId="165" fontId="4" fillId="10" borderId="5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" fontId="4" fillId="10" borderId="4" xfId="0" applyNumberFormat="1" applyFont="1" applyFill="1" applyBorder="1" applyAlignment="1">
      <alignment horizontal="right" vertical="center"/>
    </xf>
    <xf numFmtId="1" fontId="4" fillId="10" borderId="5" xfId="0" applyNumberFormat="1" applyFont="1" applyFill="1" applyBorder="1" applyAlignment="1">
      <alignment horizontal="right" vertical="center"/>
    </xf>
    <xf numFmtId="165" fontId="3" fillId="6" borderId="18" xfId="0" applyNumberFormat="1" applyFont="1" applyFill="1" applyBorder="1" applyAlignment="1">
      <alignment horizontal="center" vertical="center" wrapText="1"/>
    </xf>
    <xf numFmtId="165" fontId="3" fillId="6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5" fillId="10" borderId="4" xfId="0" applyNumberFormat="1" applyFont="1" applyFill="1" applyBorder="1" applyAlignment="1">
      <alignment horizontal="right" vertical="center"/>
    </xf>
    <xf numFmtId="0" fontId="5" fillId="10" borderId="5" xfId="0" applyNumberFormat="1" applyFont="1" applyFill="1" applyBorder="1" applyAlignment="1">
      <alignment horizontal="right" vertical="center"/>
    </xf>
    <xf numFmtId="165" fontId="5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right" vertical="center"/>
    </xf>
    <xf numFmtId="0" fontId="0" fillId="10" borderId="5" xfId="0" applyFill="1" applyBorder="1"/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80"/>
  <sheetViews>
    <sheetView tabSelected="1" topLeftCell="A4" workbookViewId="0">
      <pane xSplit="3" ySplit="11" topLeftCell="D15" activePane="bottomRight" state="frozen"/>
      <selection activeCell="A4" sqref="A4"/>
      <selection pane="topRight" activeCell="D4" sqref="D4"/>
      <selection pane="bottomLeft" activeCell="A8" sqref="A8"/>
      <selection pane="bottomRight" activeCell="T11" sqref="T11"/>
    </sheetView>
  </sheetViews>
  <sheetFormatPr defaultRowHeight="15" x14ac:dyDescent="0.25"/>
  <cols>
    <col min="1" max="1" width="4" customWidth="1"/>
    <col min="2" max="2" width="19" customWidth="1"/>
    <col min="3" max="3" width="7.5703125" customWidth="1"/>
    <col min="4" max="5" width="6.5703125" customWidth="1"/>
    <col min="6" max="6" width="6.85546875" customWidth="1"/>
    <col min="7" max="14" width="7.5703125" customWidth="1"/>
    <col min="15" max="15" width="17.5703125" style="1" customWidth="1"/>
    <col min="16" max="16" width="21.140625" customWidth="1"/>
  </cols>
  <sheetData>
    <row r="2" spans="1:17" ht="42" customHeight="1" x14ac:dyDescent="0.25">
      <c r="A2" s="217" t="s">
        <v>77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7" ht="14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7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7" ht="14.25" customHeight="1" x14ac:dyDescent="0.25">
      <c r="A5" s="57"/>
      <c r="B5" s="60" t="s">
        <v>227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7" ht="14.25" customHeight="1" x14ac:dyDescent="0.25">
      <c r="A6" s="56"/>
      <c r="B6" s="60" t="s">
        <v>224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7" ht="14.25" customHeight="1" x14ac:dyDescent="0.25">
      <c r="A7" s="58"/>
      <c r="B7" s="60" t="s">
        <v>225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7" ht="14.25" customHeight="1" x14ac:dyDescent="0.25">
      <c r="A8" s="84"/>
      <c r="B8" s="60" t="s">
        <v>226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7" ht="14.25" customHeight="1" x14ac:dyDescent="0.25">
      <c r="A9" s="59"/>
      <c r="B9" s="60" t="s">
        <v>262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7"/>
      <c r="P9" s="227"/>
    </row>
    <row r="10" spans="1:17" ht="14.25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7" ht="54.75" customHeight="1" x14ac:dyDescent="0.25">
      <c r="A11" s="219" t="s">
        <v>230</v>
      </c>
      <c r="B11" s="218" t="s">
        <v>0</v>
      </c>
      <c r="C11" s="220" t="s">
        <v>65</v>
      </c>
      <c r="D11" s="218" t="s">
        <v>84</v>
      </c>
      <c r="E11" s="218"/>
      <c r="F11" s="221" t="s">
        <v>92</v>
      </c>
      <c r="G11" s="186" t="s">
        <v>82</v>
      </c>
      <c r="H11" s="187"/>
      <c r="I11" s="187" t="s">
        <v>83</v>
      </c>
      <c r="J11" s="187"/>
      <c r="K11" s="187" t="s">
        <v>91</v>
      </c>
      <c r="L11" s="187"/>
      <c r="M11" s="187" t="s">
        <v>203</v>
      </c>
      <c r="N11" s="222"/>
      <c r="O11" s="224" t="s">
        <v>220</v>
      </c>
      <c r="P11" s="214" t="s">
        <v>73</v>
      </c>
    </row>
    <row r="12" spans="1:17" ht="18.75" customHeight="1" x14ac:dyDescent="0.25">
      <c r="A12" s="219"/>
      <c r="B12" s="218"/>
      <c r="C12" s="220"/>
      <c r="D12" s="218" t="s">
        <v>80</v>
      </c>
      <c r="E12" s="218" t="s">
        <v>81</v>
      </c>
      <c r="F12" s="221"/>
      <c r="G12" s="188" t="s">
        <v>85</v>
      </c>
      <c r="H12" s="205" t="s">
        <v>185</v>
      </c>
      <c r="I12" s="205" t="s">
        <v>85</v>
      </c>
      <c r="J12" s="205" t="s">
        <v>185</v>
      </c>
      <c r="K12" s="205" t="s">
        <v>85</v>
      </c>
      <c r="L12" s="205" t="s">
        <v>185</v>
      </c>
      <c r="M12" s="205" t="s">
        <v>85</v>
      </c>
      <c r="N12" s="223" t="s">
        <v>185</v>
      </c>
      <c r="O12" s="225"/>
      <c r="P12" s="215"/>
    </row>
    <row r="13" spans="1:17" ht="18" customHeight="1" x14ac:dyDescent="0.25">
      <c r="A13" s="219"/>
      <c r="B13" s="218"/>
      <c r="C13" s="220"/>
      <c r="D13" s="218"/>
      <c r="E13" s="218"/>
      <c r="F13" s="221"/>
      <c r="G13" s="188"/>
      <c r="H13" s="205"/>
      <c r="I13" s="205"/>
      <c r="J13" s="205"/>
      <c r="K13" s="205"/>
      <c r="L13" s="205"/>
      <c r="M13" s="205"/>
      <c r="N13" s="223"/>
      <c r="O13" s="226"/>
      <c r="P13" s="216"/>
    </row>
    <row r="14" spans="1:17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61">
        <v>6</v>
      </c>
      <c r="G14" s="69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02">
        <v>14</v>
      </c>
      <c r="O14" s="31">
        <v>18</v>
      </c>
      <c r="P14" s="33">
        <v>19</v>
      </c>
    </row>
    <row r="15" spans="1:17" x14ac:dyDescent="0.25">
      <c r="A15" s="143"/>
      <c r="B15" s="53" t="s">
        <v>45</v>
      </c>
      <c r="C15" s="144"/>
      <c r="D15" s="144"/>
      <c r="E15" s="144"/>
      <c r="F15" s="145"/>
      <c r="G15" s="146"/>
      <c r="H15" s="147"/>
      <c r="I15" s="147"/>
      <c r="J15" s="147"/>
      <c r="K15" s="147"/>
      <c r="L15" s="147"/>
      <c r="M15" s="147"/>
      <c r="N15" s="148"/>
      <c r="O15" s="149"/>
      <c r="P15" s="35"/>
    </row>
    <row r="16" spans="1:17" ht="51.75" customHeight="1" x14ac:dyDescent="0.25">
      <c r="A16" s="150">
        <v>1</v>
      </c>
      <c r="B16" s="50" t="s">
        <v>16</v>
      </c>
      <c r="C16" s="50" t="s">
        <v>86</v>
      </c>
      <c r="D16" s="50">
        <v>0.65</v>
      </c>
      <c r="E16" s="50">
        <v>5.95</v>
      </c>
      <c r="F16" s="85">
        <v>5.8390000000000004</v>
      </c>
      <c r="G16" s="86">
        <v>5.8</v>
      </c>
      <c r="H16" s="87">
        <v>123.09</v>
      </c>
      <c r="I16" s="20" t="s">
        <v>66</v>
      </c>
      <c r="J16" s="20" t="s">
        <v>66</v>
      </c>
      <c r="K16" s="20" t="s">
        <v>66</v>
      </c>
      <c r="L16" s="20" t="s">
        <v>66</v>
      </c>
      <c r="M16" s="20" t="s">
        <v>66</v>
      </c>
      <c r="N16" s="103" t="s">
        <v>66</v>
      </c>
      <c r="O16" s="32" t="s">
        <v>145</v>
      </c>
      <c r="P16" s="34" t="s">
        <v>143</v>
      </c>
      <c r="Q16" s="133"/>
    </row>
    <row r="17" spans="1:17" ht="38.25" customHeight="1" x14ac:dyDescent="0.25">
      <c r="A17" s="143">
        <v>2</v>
      </c>
      <c r="B17" s="4" t="s">
        <v>7</v>
      </c>
      <c r="C17" s="141" t="s">
        <v>86</v>
      </c>
      <c r="D17" s="141"/>
      <c r="E17" s="141">
        <v>11.305</v>
      </c>
      <c r="F17" s="63">
        <v>1.3</v>
      </c>
      <c r="G17" s="70">
        <v>1.3</v>
      </c>
      <c r="H17" s="42">
        <v>2.831</v>
      </c>
      <c r="I17" s="39">
        <v>1.3</v>
      </c>
      <c r="J17" s="39">
        <v>5.3183809999999996</v>
      </c>
      <c r="K17" s="20" t="s">
        <v>66</v>
      </c>
      <c r="L17" s="20" t="s">
        <v>66</v>
      </c>
      <c r="M17" s="20" t="s">
        <v>66</v>
      </c>
      <c r="N17" s="103" t="s">
        <v>66</v>
      </c>
      <c r="O17" s="151" t="s">
        <v>146</v>
      </c>
      <c r="P17" s="35" t="s">
        <v>97</v>
      </c>
      <c r="Q17" s="133"/>
    </row>
    <row r="18" spans="1:17" ht="52.5" customHeight="1" x14ac:dyDescent="0.25">
      <c r="A18" s="143">
        <v>3</v>
      </c>
      <c r="B18" s="141" t="s">
        <v>2</v>
      </c>
      <c r="C18" s="141" t="s">
        <v>86</v>
      </c>
      <c r="D18" s="141"/>
      <c r="E18" s="141">
        <v>8.6999999999999993</v>
      </c>
      <c r="F18" s="63">
        <v>8.6999999999999993</v>
      </c>
      <c r="G18" s="70">
        <v>1</v>
      </c>
      <c r="H18" s="42">
        <v>2.5950000000000002</v>
      </c>
      <c r="I18" s="40">
        <v>1</v>
      </c>
      <c r="J18" s="40">
        <f>I18*2.74</f>
        <v>2.74</v>
      </c>
      <c r="K18" s="39">
        <v>6.7</v>
      </c>
      <c r="L18" s="39">
        <f>K18*3.87</f>
        <v>25.929000000000002</v>
      </c>
      <c r="M18" s="20" t="s">
        <v>66</v>
      </c>
      <c r="N18" s="103" t="s">
        <v>66</v>
      </c>
      <c r="O18" s="151" t="s">
        <v>147</v>
      </c>
      <c r="P18" s="35" t="s">
        <v>98</v>
      </c>
      <c r="Q18" s="133"/>
    </row>
    <row r="19" spans="1:17" x14ac:dyDescent="0.25">
      <c r="A19" s="143"/>
      <c r="B19" s="53" t="s">
        <v>46</v>
      </c>
      <c r="C19" s="144"/>
      <c r="D19" s="12">
        <f t="shared" ref="D19:N19" si="0">SUM(D16:D18)</f>
        <v>0.65</v>
      </c>
      <c r="E19" s="12">
        <f t="shared" si="0"/>
        <v>25.954999999999998</v>
      </c>
      <c r="F19" s="64">
        <f t="shared" si="0"/>
        <v>15.838999999999999</v>
      </c>
      <c r="G19" s="72">
        <f t="shared" si="0"/>
        <v>8.1</v>
      </c>
      <c r="H19" s="15">
        <f t="shared" si="0"/>
        <v>128.51600000000002</v>
      </c>
      <c r="I19" s="15">
        <f t="shared" si="0"/>
        <v>2.2999999999999998</v>
      </c>
      <c r="J19" s="15">
        <f t="shared" si="0"/>
        <v>8.0583810000000007</v>
      </c>
      <c r="K19" s="15">
        <f t="shared" si="0"/>
        <v>6.7</v>
      </c>
      <c r="L19" s="15">
        <f t="shared" si="0"/>
        <v>25.929000000000002</v>
      </c>
      <c r="M19" s="15">
        <f t="shared" si="0"/>
        <v>0</v>
      </c>
      <c r="N19" s="104">
        <f t="shared" si="0"/>
        <v>0</v>
      </c>
      <c r="O19" s="151"/>
      <c r="P19" s="152"/>
      <c r="Q19" s="133"/>
    </row>
    <row r="20" spans="1:17" x14ac:dyDescent="0.25">
      <c r="A20" s="143"/>
      <c r="B20" s="53"/>
      <c r="C20" s="144"/>
      <c r="D20" s="144"/>
      <c r="E20" s="144"/>
      <c r="F20" s="145"/>
      <c r="G20" s="146"/>
      <c r="H20" s="147"/>
      <c r="I20" s="147"/>
      <c r="J20" s="147"/>
      <c r="K20" s="147"/>
      <c r="L20" s="147"/>
      <c r="M20" s="153"/>
      <c r="N20" s="154"/>
      <c r="O20" s="151"/>
      <c r="P20" s="152"/>
      <c r="Q20" s="133"/>
    </row>
    <row r="21" spans="1:17" x14ac:dyDescent="0.25">
      <c r="A21" s="143"/>
      <c r="B21" s="53" t="s">
        <v>47</v>
      </c>
      <c r="C21" s="144"/>
      <c r="D21" s="144"/>
      <c r="E21" s="144"/>
      <c r="F21" s="145"/>
      <c r="G21" s="146"/>
      <c r="H21" s="147"/>
      <c r="I21" s="147"/>
      <c r="J21" s="147"/>
      <c r="K21" s="147"/>
      <c r="L21" s="147"/>
      <c r="M21" s="153"/>
      <c r="N21" s="154"/>
      <c r="O21" s="151"/>
      <c r="P21" s="35"/>
      <c r="Q21" s="133"/>
    </row>
    <row r="22" spans="1:17" ht="40.5" customHeight="1" x14ac:dyDescent="0.25">
      <c r="A22" s="143">
        <v>4</v>
      </c>
      <c r="B22" s="141" t="s">
        <v>41</v>
      </c>
      <c r="C22" s="141" t="s">
        <v>86</v>
      </c>
      <c r="D22" s="141"/>
      <c r="E22" s="141">
        <v>6.024</v>
      </c>
      <c r="F22" s="63">
        <v>6.024</v>
      </c>
      <c r="G22" s="73">
        <v>1.3</v>
      </c>
      <c r="H22" s="27">
        <v>4.3259999999999996</v>
      </c>
      <c r="I22" s="16">
        <v>0.5</v>
      </c>
      <c r="J22" s="40">
        <f>I22*2.74</f>
        <v>1.37</v>
      </c>
      <c r="K22" s="55">
        <v>6.024</v>
      </c>
      <c r="L22" s="41">
        <f>K22*14</f>
        <v>84.335999999999999</v>
      </c>
      <c r="M22" s="21" t="s">
        <v>66</v>
      </c>
      <c r="N22" s="105" t="s">
        <v>66</v>
      </c>
      <c r="O22" s="151" t="s">
        <v>182</v>
      </c>
      <c r="P22" s="34" t="s">
        <v>231</v>
      </c>
      <c r="Q22" s="133"/>
    </row>
    <row r="23" spans="1:17" ht="42.75" customHeight="1" x14ac:dyDescent="0.25">
      <c r="A23" s="155">
        <v>5</v>
      </c>
      <c r="B23" s="49" t="s">
        <v>140</v>
      </c>
      <c r="C23" s="49" t="s">
        <v>87</v>
      </c>
      <c r="D23" s="49"/>
      <c r="E23" s="49">
        <v>6.5049999999999999</v>
      </c>
      <c r="F23" s="88">
        <v>4.3499999999999996</v>
      </c>
      <c r="G23" s="89">
        <v>4.3499999999999996</v>
      </c>
      <c r="H23" s="90">
        <v>17.835917999999999</v>
      </c>
      <c r="I23" s="21" t="s">
        <v>66</v>
      </c>
      <c r="J23" s="21" t="s">
        <v>66</v>
      </c>
      <c r="K23" s="21" t="s">
        <v>66</v>
      </c>
      <c r="L23" s="21" t="s">
        <v>66</v>
      </c>
      <c r="M23" s="21" t="s">
        <v>66</v>
      </c>
      <c r="N23" s="105" t="s">
        <v>66</v>
      </c>
      <c r="O23" s="151" t="s">
        <v>179</v>
      </c>
      <c r="P23" s="34" t="s">
        <v>99</v>
      </c>
      <c r="Q23" s="133"/>
    </row>
    <row r="24" spans="1:17" ht="30" customHeight="1" x14ac:dyDescent="0.25">
      <c r="A24" s="156">
        <v>6</v>
      </c>
      <c r="B24" s="141" t="s">
        <v>79</v>
      </c>
      <c r="C24" s="141" t="s">
        <v>86</v>
      </c>
      <c r="D24" s="141">
        <v>9.9</v>
      </c>
      <c r="E24" s="141">
        <v>16.2</v>
      </c>
      <c r="F24" s="63">
        <v>16.2</v>
      </c>
      <c r="G24" s="73">
        <v>1.087</v>
      </c>
      <c r="H24" s="27">
        <v>4.1379999999999999</v>
      </c>
      <c r="I24" s="39">
        <v>6.9</v>
      </c>
      <c r="J24" s="17">
        <v>23.507480999999999</v>
      </c>
      <c r="K24" s="39">
        <v>9.3000000000000007</v>
      </c>
      <c r="L24" s="17">
        <f>K24*3.87</f>
        <v>35.991000000000007</v>
      </c>
      <c r="M24" s="21" t="s">
        <v>66</v>
      </c>
      <c r="N24" s="105" t="s">
        <v>66</v>
      </c>
      <c r="O24" s="151" t="s">
        <v>183</v>
      </c>
      <c r="P24" s="34" t="s">
        <v>100</v>
      </c>
      <c r="Q24" s="135"/>
    </row>
    <row r="25" spans="1:17" ht="35.25" customHeight="1" x14ac:dyDescent="0.25">
      <c r="A25" s="156">
        <v>7</v>
      </c>
      <c r="B25" s="141" t="s">
        <v>13</v>
      </c>
      <c r="C25" s="141" t="s">
        <v>86</v>
      </c>
      <c r="D25" s="141">
        <v>40.799999999999997</v>
      </c>
      <c r="E25" s="141">
        <v>34.200000000000003</v>
      </c>
      <c r="F25" s="63">
        <v>34.200000000000003</v>
      </c>
      <c r="G25" s="75">
        <v>0.52</v>
      </c>
      <c r="H25" s="42">
        <v>0.96</v>
      </c>
      <c r="I25" s="39">
        <v>16</v>
      </c>
      <c r="J25" s="39">
        <v>102.110282</v>
      </c>
      <c r="K25" s="39">
        <v>13.2</v>
      </c>
      <c r="L25" s="39">
        <f>10*5.07+3.2*7.36</f>
        <v>74.25200000000001</v>
      </c>
      <c r="M25" s="39">
        <v>5</v>
      </c>
      <c r="N25" s="106">
        <f>5*5.07</f>
        <v>25.35</v>
      </c>
      <c r="O25" s="151" t="s">
        <v>148</v>
      </c>
      <c r="P25" s="34" t="s">
        <v>101</v>
      </c>
      <c r="Q25" s="133"/>
    </row>
    <row r="26" spans="1:17" ht="31.5" customHeight="1" x14ac:dyDescent="0.25">
      <c r="A26" s="155">
        <v>8</v>
      </c>
      <c r="B26" s="49" t="s">
        <v>38</v>
      </c>
      <c r="C26" s="49" t="s">
        <v>86</v>
      </c>
      <c r="D26" s="49">
        <v>4</v>
      </c>
      <c r="E26" s="49">
        <v>14.105</v>
      </c>
      <c r="F26" s="91">
        <v>11.4</v>
      </c>
      <c r="G26" s="86">
        <v>4.8170000000000002</v>
      </c>
      <c r="H26" s="87">
        <v>31.587</v>
      </c>
      <c r="I26" s="21" t="s">
        <v>66</v>
      </c>
      <c r="J26" s="21" t="s">
        <v>66</v>
      </c>
      <c r="K26" s="21" t="s">
        <v>66</v>
      </c>
      <c r="L26" s="21" t="s">
        <v>66</v>
      </c>
      <c r="M26" s="21" t="s">
        <v>66</v>
      </c>
      <c r="N26" s="105" t="s">
        <v>66</v>
      </c>
      <c r="O26" s="151" t="s">
        <v>184</v>
      </c>
      <c r="P26" s="34" t="s">
        <v>144</v>
      </c>
      <c r="Q26" s="133"/>
    </row>
    <row r="27" spans="1:17" ht="50.25" customHeight="1" x14ac:dyDescent="0.25">
      <c r="A27" s="156">
        <v>9</v>
      </c>
      <c r="B27" s="141" t="s">
        <v>44</v>
      </c>
      <c r="C27" s="141" t="s">
        <v>86</v>
      </c>
      <c r="D27" s="141">
        <v>13.282</v>
      </c>
      <c r="E27" s="141"/>
      <c r="F27" s="63">
        <v>13.282</v>
      </c>
      <c r="G27" s="74" t="s">
        <v>261</v>
      </c>
      <c r="H27" s="26">
        <v>18.192</v>
      </c>
      <c r="I27" s="131">
        <v>13.282</v>
      </c>
      <c r="J27" s="26">
        <v>65.613825000000006</v>
      </c>
      <c r="K27" s="21" t="s">
        <v>66</v>
      </c>
      <c r="L27" s="21" t="s">
        <v>66</v>
      </c>
      <c r="M27" s="21" t="s">
        <v>66</v>
      </c>
      <c r="N27" s="105" t="s">
        <v>66</v>
      </c>
      <c r="O27" s="151" t="s">
        <v>233</v>
      </c>
      <c r="P27" s="34" t="s">
        <v>232</v>
      </c>
      <c r="Q27" s="133"/>
    </row>
    <row r="28" spans="1:17" x14ac:dyDescent="0.25">
      <c r="A28" s="156"/>
      <c r="B28" s="54" t="s">
        <v>46</v>
      </c>
      <c r="C28" s="54"/>
      <c r="D28" s="12">
        <f t="shared" ref="D28:N28" si="1">SUM(D22:D27)</f>
        <v>67.981999999999999</v>
      </c>
      <c r="E28" s="12">
        <f t="shared" si="1"/>
        <v>77.034000000000006</v>
      </c>
      <c r="F28" s="64">
        <f t="shared" si="1"/>
        <v>85.456000000000003</v>
      </c>
      <c r="G28" s="72">
        <f t="shared" si="1"/>
        <v>12.074</v>
      </c>
      <c r="H28" s="15">
        <f t="shared" si="1"/>
        <v>77.038917999999995</v>
      </c>
      <c r="I28" s="15">
        <f t="shared" si="1"/>
        <v>36.682000000000002</v>
      </c>
      <c r="J28" s="15">
        <f t="shared" si="1"/>
        <v>192.60158799999999</v>
      </c>
      <c r="K28" s="15">
        <f t="shared" si="1"/>
        <v>28.524000000000001</v>
      </c>
      <c r="L28" s="15">
        <f t="shared" si="1"/>
        <v>194.57900000000001</v>
      </c>
      <c r="M28" s="15">
        <f t="shared" si="1"/>
        <v>5</v>
      </c>
      <c r="N28" s="104">
        <f t="shared" si="1"/>
        <v>25.35</v>
      </c>
      <c r="O28" s="151"/>
      <c r="P28" s="152"/>
      <c r="Q28" s="133"/>
    </row>
    <row r="29" spans="1:17" x14ac:dyDescent="0.25">
      <c r="A29" s="156"/>
      <c r="B29" s="54"/>
      <c r="C29" s="54"/>
      <c r="D29" s="54"/>
      <c r="E29" s="54"/>
      <c r="F29" s="157"/>
      <c r="G29" s="158"/>
      <c r="H29" s="159"/>
      <c r="I29" s="159"/>
      <c r="J29" s="159"/>
      <c r="K29" s="159"/>
      <c r="L29" s="159"/>
      <c r="M29" s="160"/>
      <c r="N29" s="161"/>
      <c r="O29" s="151"/>
      <c r="P29" s="152"/>
      <c r="Q29" s="133"/>
    </row>
    <row r="30" spans="1:17" x14ac:dyDescent="0.25">
      <c r="A30" s="156"/>
      <c r="B30" s="54" t="s">
        <v>49</v>
      </c>
      <c r="C30" s="54"/>
      <c r="D30" s="54"/>
      <c r="E30" s="54"/>
      <c r="F30" s="157"/>
      <c r="G30" s="158"/>
      <c r="H30" s="159"/>
      <c r="I30" s="159"/>
      <c r="J30" s="159"/>
      <c r="K30" s="159"/>
      <c r="L30" s="159"/>
      <c r="M30" s="160"/>
      <c r="N30" s="161"/>
      <c r="O30" s="151"/>
      <c r="P30" s="152"/>
      <c r="Q30" s="133"/>
    </row>
    <row r="31" spans="1:17" ht="38.25" customHeight="1" x14ac:dyDescent="0.25">
      <c r="A31" s="156">
        <v>10</v>
      </c>
      <c r="B31" s="141" t="s">
        <v>24</v>
      </c>
      <c r="C31" s="141" t="s">
        <v>86</v>
      </c>
      <c r="D31" s="141">
        <v>9.7349999999999994</v>
      </c>
      <c r="E31" s="141">
        <v>21.361000000000001</v>
      </c>
      <c r="F31" s="63">
        <v>21.361000000000001</v>
      </c>
      <c r="G31" s="77">
        <v>4.3</v>
      </c>
      <c r="H31" s="17">
        <v>17.548999999999999</v>
      </c>
      <c r="I31" s="39">
        <v>5</v>
      </c>
      <c r="J31" s="17">
        <v>21.023575000000001</v>
      </c>
      <c r="K31" s="39">
        <v>5.0999999999999996</v>
      </c>
      <c r="L31" s="17">
        <f>K31*3.87</f>
        <v>19.736999999999998</v>
      </c>
      <c r="M31" s="39">
        <v>7</v>
      </c>
      <c r="N31" s="107">
        <f>M31*3.87</f>
        <v>27.09</v>
      </c>
      <c r="O31" s="151" t="s">
        <v>149</v>
      </c>
      <c r="P31" s="34" t="s">
        <v>234</v>
      </c>
      <c r="Q31" s="133"/>
    </row>
    <row r="32" spans="1:17" ht="28.5" customHeight="1" x14ac:dyDescent="0.25">
      <c r="A32" s="156">
        <v>11</v>
      </c>
      <c r="B32" s="141" t="s">
        <v>23</v>
      </c>
      <c r="C32" s="141" t="s">
        <v>86</v>
      </c>
      <c r="D32" s="141"/>
      <c r="E32" s="141">
        <v>9.9809999999999999</v>
      </c>
      <c r="F32" s="66">
        <v>8.4809999999999999</v>
      </c>
      <c r="G32" s="77">
        <v>5</v>
      </c>
      <c r="H32" s="17">
        <v>17</v>
      </c>
      <c r="I32" s="131">
        <v>3.4809999999999999</v>
      </c>
      <c r="J32" s="17">
        <v>15.470420000000001</v>
      </c>
      <c r="K32" s="21" t="s">
        <v>66</v>
      </c>
      <c r="L32" s="21" t="s">
        <v>66</v>
      </c>
      <c r="M32" s="21" t="s">
        <v>66</v>
      </c>
      <c r="N32" s="105" t="s">
        <v>66</v>
      </c>
      <c r="O32" s="151" t="s">
        <v>162</v>
      </c>
      <c r="P32" s="34" t="s">
        <v>102</v>
      </c>
      <c r="Q32" s="133"/>
    </row>
    <row r="33" spans="1:17" ht="28.5" customHeight="1" x14ac:dyDescent="0.25">
      <c r="A33" s="143">
        <v>12</v>
      </c>
      <c r="B33" s="141" t="s">
        <v>27</v>
      </c>
      <c r="C33" s="141" t="s">
        <v>86</v>
      </c>
      <c r="D33" s="141"/>
      <c r="E33" s="141">
        <v>4.3</v>
      </c>
      <c r="F33" s="63">
        <v>4.3</v>
      </c>
      <c r="G33" s="78">
        <v>0.75</v>
      </c>
      <c r="H33" s="27">
        <v>2.2921589999999998</v>
      </c>
      <c r="I33" s="18">
        <v>3.55</v>
      </c>
      <c r="J33" s="17">
        <v>12.924455</v>
      </c>
      <c r="K33" s="21" t="s">
        <v>66</v>
      </c>
      <c r="L33" s="21" t="s">
        <v>66</v>
      </c>
      <c r="M33" s="21" t="s">
        <v>66</v>
      </c>
      <c r="N33" s="105" t="s">
        <v>66</v>
      </c>
      <c r="O33" s="151" t="s">
        <v>163</v>
      </c>
      <c r="P33" s="34" t="s">
        <v>103</v>
      </c>
      <c r="Q33" s="133"/>
    </row>
    <row r="34" spans="1:17" ht="28.5" customHeight="1" x14ac:dyDescent="0.25">
      <c r="A34" s="143">
        <v>13</v>
      </c>
      <c r="B34" s="141" t="s">
        <v>26</v>
      </c>
      <c r="C34" s="141" t="s">
        <v>86</v>
      </c>
      <c r="D34" s="141"/>
      <c r="E34" s="141">
        <v>3</v>
      </c>
      <c r="F34" s="63">
        <v>3</v>
      </c>
      <c r="G34" s="73">
        <v>0.2</v>
      </c>
      <c r="H34" s="27">
        <v>0.61124500000000004</v>
      </c>
      <c r="I34" s="16">
        <v>0.2</v>
      </c>
      <c r="J34" s="40">
        <f>I34*2.74</f>
        <v>0.54800000000000004</v>
      </c>
      <c r="K34" s="39">
        <v>3</v>
      </c>
      <c r="L34" s="17">
        <f>K34*3.87</f>
        <v>11.61</v>
      </c>
      <c r="M34" s="21" t="s">
        <v>66</v>
      </c>
      <c r="N34" s="105" t="s">
        <v>66</v>
      </c>
      <c r="O34" s="151" t="s">
        <v>162</v>
      </c>
      <c r="P34" s="34" t="s">
        <v>104</v>
      </c>
      <c r="Q34" s="133"/>
    </row>
    <row r="35" spans="1:17" ht="28.5" customHeight="1" x14ac:dyDescent="0.25">
      <c r="A35" s="162">
        <v>14</v>
      </c>
      <c r="B35" s="49" t="s">
        <v>25</v>
      </c>
      <c r="C35" s="49" t="s">
        <v>86</v>
      </c>
      <c r="D35" s="49"/>
      <c r="E35" s="49">
        <v>1.2</v>
      </c>
      <c r="F35" s="91">
        <v>1.2</v>
      </c>
      <c r="G35" s="92">
        <v>0.1</v>
      </c>
      <c r="H35" s="93">
        <v>0.30563299999999999</v>
      </c>
      <c r="I35" s="21" t="s">
        <v>66</v>
      </c>
      <c r="J35" s="21" t="s">
        <v>66</v>
      </c>
      <c r="K35" s="21" t="s">
        <v>66</v>
      </c>
      <c r="L35" s="21" t="s">
        <v>66</v>
      </c>
      <c r="M35" s="21" t="s">
        <v>66</v>
      </c>
      <c r="N35" s="105" t="s">
        <v>66</v>
      </c>
      <c r="O35" s="151" t="s">
        <v>164</v>
      </c>
      <c r="P35" s="34" t="s">
        <v>105</v>
      </c>
      <c r="Q35" s="133"/>
    </row>
    <row r="36" spans="1:17" ht="28.5" customHeight="1" x14ac:dyDescent="0.25">
      <c r="A36" s="143">
        <v>15</v>
      </c>
      <c r="B36" s="141" t="s">
        <v>206</v>
      </c>
      <c r="C36" s="141" t="s">
        <v>86</v>
      </c>
      <c r="D36" s="141"/>
      <c r="E36" s="141">
        <v>6.1</v>
      </c>
      <c r="F36" s="63">
        <v>6.1</v>
      </c>
      <c r="G36" s="76" t="s">
        <v>66</v>
      </c>
      <c r="H36" s="21" t="s">
        <v>66</v>
      </c>
      <c r="I36" s="16">
        <v>0.5</v>
      </c>
      <c r="J36" s="40">
        <f>I36*2.74</f>
        <v>1.37</v>
      </c>
      <c r="K36" s="16">
        <v>0.2</v>
      </c>
      <c r="L36" s="40">
        <f>K36*2.74</f>
        <v>0.54800000000000004</v>
      </c>
      <c r="M36" s="39">
        <v>6.1</v>
      </c>
      <c r="N36" s="107">
        <f>M36*3.87</f>
        <v>23.606999999999999</v>
      </c>
      <c r="O36" s="151" t="s">
        <v>235</v>
      </c>
      <c r="P36" s="34" t="s">
        <v>207</v>
      </c>
      <c r="Q36" s="133"/>
    </row>
    <row r="37" spans="1:17" x14ac:dyDescent="0.25">
      <c r="A37" s="143"/>
      <c r="B37" s="53" t="s">
        <v>46</v>
      </c>
      <c r="C37" s="53"/>
      <c r="D37" s="12">
        <f t="shared" ref="D37:N37" si="2">SUM(D31:D36)</f>
        <v>9.7349999999999994</v>
      </c>
      <c r="E37" s="12">
        <f t="shared" si="2"/>
        <v>45.942</v>
      </c>
      <c r="F37" s="64">
        <f t="shared" si="2"/>
        <v>44.442</v>
      </c>
      <c r="G37" s="79">
        <f t="shared" si="2"/>
        <v>10.35</v>
      </c>
      <c r="H37" s="12">
        <f t="shared" si="2"/>
        <v>37.758036999999995</v>
      </c>
      <c r="I37" s="12">
        <f t="shared" si="2"/>
        <v>12.730999999999998</v>
      </c>
      <c r="J37" s="12">
        <f t="shared" si="2"/>
        <v>51.336449999999999</v>
      </c>
      <c r="K37" s="12">
        <f t="shared" si="2"/>
        <v>8.2999999999999989</v>
      </c>
      <c r="L37" s="12">
        <f t="shared" si="2"/>
        <v>31.894999999999996</v>
      </c>
      <c r="M37" s="12">
        <f t="shared" si="2"/>
        <v>13.1</v>
      </c>
      <c r="N37" s="108">
        <f t="shared" si="2"/>
        <v>50.697000000000003</v>
      </c>
      <c r="O37" s="151"/>
      <c r="P37" s="152"/>
      <c r="Q37" s="133"/>
    </row>
    <row r="38" spans="1:17" x14ac:dyDescent="0.25">
      <c r="A38" s="143"/>
      <c r="B38" s="53"/>
      <c r="C38" s="53"/>
      <c r="D38" s="53"/>
      <c r="E38" s="53"/>
      <c r="F38" s="163"/>
      <c r="G38" s="158"/>
      <c r="H38" s="159"/>
      <c r="I38" s="159"/>
      <c r="J38" s="159"/>
      <c r="K38" s="159"/>
      <c r="L38" s="159"/>
      <c r="M38" s="160"/>
      <c r="N38" s="161"/>
      <c r="O38" s="151"/>
      <c r="P38" s="152"/>
      <c r="Q38" s="133"/>
    </row>
    <row r="39" spans="1:17" ht="18.75" customHeight="1" x14ac:dyDescent="0.25">
      <c r="A39" s="143"/>
      <c r="B39" s="53" t="s">
        <v>48</v>
      </c>
      <c r="C39" s="144"/>
      <c r="D39" s="144"/>
      <c r="E39" s="144"/>
      <c r="F39" s="145"/>
      <c r="G39" s="146"/>
      <c r="H39" s="147"/>
      <c r="I39" s="147"/>
      <c r="J39" s="147"/>
      <c r="K39" s="147"/>
      <c r="L39" s="147"/>
      <c r="M39" s="153"/>
      <c r="N39" s="154"/>
      <c r="O39" s="151"/>
      <c r="P39" s="35"/>
      <c r="Q39" s="133"/>
    </row>
    <row r="40" spans="1:17" ht="47.25" customHeight="1" x14ac:dyDescent="0.25">
      <c r="A40" s="156">
        <v>16</v>
      </c>
      <c r="B40" s="141" t="s">
        <v>4</v>
      </c>
      <c r="C40" s="141" t="s">
        <v>86</v>
      </c>
      <c r="D40" s="141">
        <v>14</v>
      </c>
      <c r="E40" s="141">
        <v>16</v>
      </c>
      <c r="F40" s="63">
        <v>16</v>
      </c>
      <c r="G40" s="70">
        <v>0.5</v>
      </c>
      <c r="H40" s="42">
        <v>0.876</v>
      </c>
      <c r="I40" s="51">
        <v>4</v>
      </c>
      <c r="J40" s="52">
        <v>125.33076</v>
      </c>
      <c r="K40" s="51">
        <v>5.3</v>
      </c>
      <c r="L40" s="52">
        <v>188.4</v>
      </c>
      <c r="M40" s="51">
        <v>7</v>
      </c>
      <c r="N40" s="109">
        <f>M40*36</f>
        <v>252</v>
      </c>
      <c r="O40" s="151" t="s">
        <v>165</v>
      </c>
      <c r="P40" s="142" t="s">
        <v>239</v>
      </c>
      <c r="Q40" s="133"/>
    </row>
    <row r="41" spans="1:17" ht="68.25" customHeight="1" x14ac:dyDescent="0.25">
      <c r="A41" s="164">
        <v>17</v>
      </c>
      <c r="B41" s="9" t="s">
        <v>8</v>
      </c>
      <c r="C41" s="141" t="s">
        <v>86</v>
      </c>
      <c r="D41" s="9"/>
      <c r="E41" s="9">
        <v>7.4</v>
      </c>
      <c r="F41" s="62">
        <v>7.4</v>
      </c>
      <c r="G41" s="70">
        <v>0.4</v>
      </c>
      <c r="H41" s="42">
        <v>0.82299999999999995</v>
      </c>
      <c r="I41" s="25">
        <v>3.8</v>
      </c>
      <c r="J41" s="25">
        <v>28.966864000000001</v>
      </c>
      <c r="K41" s="25">
        <v>3.6</v>
      </c>
      <c r="L41" s="25">
        <f>K41*7.3</f>
        <v>26.28</v>
      </c>
      <c r="M41" s="20" t="s">
        <v>66</v>
      </c>
      <c r="N41" s="103" t="s">
        <v>66</v>
      </c>
      <c r="O41" s="151" t="s">
        <v>166</v>
      </c>
      <c r="P41" s="34" t="s">
        <v>106</v>
      </c>
      <c r="Q41" s="133"/>
    </row>
    <row r="42" spans="1:17" ht="21.75" customHeight="1" x14ac:dyDescent="0.25">
      <c r="A42" s="164">
        <v>18</v>
      </c>
      <c r="B42" s="9" t="s">
        <v>209</v>
      </c>
      <c r="C42" s="141" t="s">
        <v>86</v>
      </c>
      <c r="D42" s="9"/>
      <c r="E42" s="9">
        <v>5.8</v>
      </c>
      <c r="F42" s="62">
        <v>5.8</v>
      </c>
      <c r="G42" s="71" t="s">
        <v>66</v>
      </c>
      <c r="H42" s="20" t="s">
        <v>66</v>
      </c>
      <c r="I42" s="16">
        <v>0.5</v>
      </c>
      <c r="J42" s="40">
        <f>I42*2.74</f>
        <v>1.37</v>
      </c>
      <c r="K42" s="16">
        <v>0.2</v>
      </c>
      <c r="L42" s="40">
        <f>K42*2.74</f>
        <v>0.54800000000000004</v>
      </c>
      <c r="M42" s="39">
        <v>5.8</v>
      </c>
      <c r="N42" s="107">
        <f>M42*3.87</f>
        <v>22.446000000000002</v>
      </c>
      <c r="O42" s="151" t="s">
        <v>236</v>
      </c>
      <c r="P42" s="34" t="s">
        <v>237</v>
      </c>
      <c r="Q42" s="133"/>
    </row>
    <row r="43" spans="1:17" ht="36" customHeight="1" x14ac:dyDescent="0.25">
      <c r="A43" s="164">
        <v>19</v>
      </c>
      <c r="B43" s="9" t="s">
        <v>238</v>
      </c>
      <c r="C43" s="141" t="s">
        <v>86</v>
      </c>
      <c r="D43" s="9">
        <v>9.1509999999999998</v>
      </c>
      <c r="E43" s="9">
        <v>6.8029999999999999</v>
      </c>
      <c r="F43" s="62">
        <v>6.8029999999999999</v>
      </c>
      <c r="G43" s="71" t="s">
        <v>66</v>
      </c>
      <c r="H43" s="20" t="s">
        <v>66</v>
      </c>
      <c r="I43" s="51">
        <v>3.2</v>
      </c>
      <c r="J43" s="52">
        <v>95.707710000000006</v>
      </c>
      <c r="K43" s="51">
        <v>3.73</v>
      </c>
      <c r="L43" s="52">
        <v>117.52200000000001</v>
      </c>
      <c r="M43" s="20" t="s">
        <v>66</v>
      </c>
      <c r="N43" s="103" t="s">
        <v>66</v>
      </c>
      <c r="O43" s="151" t="s">
        <v>235</v>
      </c>
      <c r="P43" s="34" t="s">
        <v>240</v>
      </c>
      <c r="Q43" s="133"/>
    </row>
    <row r="44" spans="1:17" x14ac:dyDescent="0.25">
      <c r="A44" s="143"/>
      <c r="B44" s="53" t="s">
        <v>46</v>
      </c>
      <c r="C44" s="144"/>
      <c r="D44" s="11">
        <f>SUM(D40:D43)</f>
        <v>23.151</v>
      </c>
      <c r="E44" s="11">
        <f t="shared" ref="E44:N44" si="3">SUM(E40:E43)</f>
        <v>36.003</v>
      </c>
      <c r="F44" s="67">
        <f t="shared" si="3"/>
        <v>36.003</v>
      </c>
      <c r="G44" s="80">
        <f t="shared" si="3"/>
        <v>0.9</v>
      </c>
      <c r="H44" s="11">
        <f t="shared" si="3"/>
        <v>1.6989999999999998</v>
      </c>
      <c r="I44" s="11">
        <f t="shared" si="3"/>
        <v>11.5</v>
      </c>
      <c r="J44" s="11">
        <f t="shared" si="3"/>
        <v>251.37533400000001</v>
      </c>
      <c r="K44" s="11">
        <f t="shared" si="3"/>
        <v>12.83</v>
      </c>
      <c r="L44" s="11">
        <f t="shared" si="3"/>
        <v>332.75</v>
      </c>
      <c r="M44" s="11">
        <f t="shared" si="3"/>
        <v>12.8</v>
      </c>
      <c r="N44" s="110">
        <f t="shared" si="3"/>
        <v>274.44600000000003</v>
      </c>
      <c r="O44" s="151"/>
      <c r="P44" s="165"/>
      <c r="Q44" s="133"/>
    </row>
    <row r="45" spans="1:17" x14ac:dyDescent="0.25">
      <c r="A45" s="143"/>
      <c r="B45" s="53"/>
      <c r="C45" s="144"/>
      <c r="D45" s="144"/>
      <c r="E45" s="144"/>
      <c r="F45" s="145"/>
      <c r="G45" s="146"/>
      <c r="H45" s="147"/>
      <c r="I45" s="147"/>
      <c r="J45" s="147"/>
      <c r="K45" s="147"/>
      <c r="L45" s="147"/>
      <c r="M45" s="153"/>
      <c r="N45" s="154"/>
      <c r="O45" s="151"/>
      <c r="P45" s="152"/>
      <c r="Q45" s="133"/>
    </row>
    <row r="46" spans="1:17" x14ac:dyDescent="0.25">
      <c r="A46" s="143"/>
      <c r="B46" s="53" t="s">
        <v>50</v>
      </c>
      <c r="C46" s="144"/>
      <c r="D46" s="144"/>
      <c r="E46" s="144"/>
      <c r="F46" s="145"/>
      <c r="G46" s="146"/>
      <c r="H46" s="147"/>
      <c r="I46" s="147"/>
      <c r="J46" s="147"/>
      <c r="K46" s="147"/>
      <c r="L46" s="147"/>
      <c r="M46" s="153"/>
      <c r="N46" s="154"/>
      <c r="O46" s="151"/>
      <c r="P46" s="35"/>
      <c r="Q46" s="133"/>
    </row>
    <row r="47" spans="1:17" ht="44.25" customHeight="1" x14ac:dyDescent="0.25">
      <c r="A47" s="143">
        <v>20</v>
      </c>
      <c r="B47" s="141" t="s">
        <v>1</v>
      </c>
      <c r="C47" s="141" t="s">
        <v>86</v>
      </c>
      <c r="D47" s="141">
        <v>3.0209999999999999</v>
      </c>
      <c r="E47" s="141">
        <v>2.4590000000000001</v>
      </c>
      <c r="F47" s="63">
        <v>2.4590000000000001</v>
      </c>
      <c r="G47" s="70">
        <v>0.42</v>
      </c>
      <c r="H47" s="42">
        <v>0.80976899999999996</v>
      </c>
      <c r="I47" s="16">
        <v>0.5</v>
      </c>
      <c r="J47" s="40">
        <f>I47*2.74</f>
        <v>1.37</v>
      </c>
      <c r="K47" s="39">
        <v>2.4590000000000001</v>
      </c>
      <c r="L47" s="39">
        <f>K47*5.07</f>
        <v>12.467130000000001</v>
      </c>
      <c r="M47" s="20" t="s">
        <v>66</v>
      </c>
      <c r="N47" s="103" t="s">
        <v>66</v>
      </c>
      <c r="O47" s="151" t="s">
        <v>150</v>
      </c>
      <c r="P47" s="34" t="s">
        <v>107</v>
      </c>
      <c r="Q47" s="133"/>
    </row>
    <row r="48" spans="1:17" x14ac:dyDescent="0.25">
      <c r="A48" s="143"/>
      <c r="B48" s="53" t="s">
        <v>46</v>
      </c>
      <c r="C48" s="144"/>
      <c r="D48" s="11">
        <f>SUM(D47)</f>
        <v>3.0209999999999999</v>
      </c>
      <c r="E48" s="11">
        <f t="shared" ref="E48" si="4">SUM(E47)</f>
        <v>2.4590000000000001</v>
      </c>
      <c r="F48" s="67">
        <f>SUM(F47)</f>
        <v>2.4590000000000001</v>
      </c>
      <c r="G48" s="80">
        <f t="shared" ref="G48:N48" si="5">SUM(G47)</f>
        <v>0.42</v>
      </c>
      <c r="H48" s="11">
        <f t="shared" si="5"/>
        <v>0.80976899999999996</v>
      </c>
      <c r="I48" s="11">
        <f t="shared" si="5"/>
        <v>0.5</v>
      </c>
      <c r="J48" s="11">
        <f t="shared" si="5"/>
        <v>1.37</v>
      </c>
      <c r="K48" s="11">
        <f t="shared" si="5"/>
        <v>2.4590000000000001</v>
      </c>
      <c r="L48" s="11">
        <f t="shared" si="5"/>
        <v>12.467130000000001</v>
      </c>
      <c r="M48" s="11">
        <f t="shared" si="5"/>
        <v>0</v>
      </c>
      <c r="N48" s="110">
        <f t="shared" si="5"/>
        <v>0</v>
      </c>
      <c r="O48" s="151"/>
      <c r="P48" s="165"/>
      <c r="Q48" s="133"/>
    </row>
    <row r="49" spans="1:17" x14ac:dyDescent="0.25">
      <c r="A49" s="143"/>
      <c r="B49" s="53"/>
      <c r="C49" s="144"/>
      <c r="D49" s="144"/>
      <c r="E49" s="144"/>
      <c r="F49" s="145"/>
      <c r="G49" s="146"/>
      <c r="H49" s="147"/>
      <c r="I49" s="147"/>
      <c r="J49" s="147"/>
      <c r="K49" s="147"/>
      <c r="L49" s="147"/>
      <c r="M49" s="153"/>
      <c r="N49" s="154"/>
      <c r="O49" s="151"/>
      <c r="P49" s="152"/>
      <c r="Q49" s="133"/>
    </row>
    <row r="50" spans="1:17" x14ac:dyDescent="0.25">
      <c r="A50" s="143"/>
      <c r="B50" s="53" t="s">
        <v>51</v>
      </c>
      <c r="C50" s="144"/>
      <c r="D50" s="144"/>
      <c r="E50" s="144"/>
      <c r="F50" s="145"/>
      <c r="G50" s="146"/>
      <c r="H50" s="147"/>
      <c r="I50" s="147"/>
      <c r="J50" s="147"/>
      <c r="K50" s="147"/>
      <c r="L50" s="147"/>
      <c r="M50" s="153"/>
      <c r="N50" s="154"/>
      <c r="O50" s="151"/>
      <c r="P50" s="35"/>
      <c r="Q50" s="133"/>
    </row>
    <row r="51" spans="1:17" ht="54.75" customHeight="1" x14ac:dyDescent="0.25">
      <c r="A51" s="143">
        <v>21</v>
      </c>
      <c r="B51" s="141" t="s">
        <v>15</v>
      </c>
      <c r="C51" s="141" t="s">
        <v>86</v>
      </c>
      <c r="D51" s="141"/>
      <c r="E51" s="141">
        <v>4</v>
      </c>
      <c r="F51" s="63">
        <v>4</v>
      </c>
      <c r="G51" s="70">
        <v>1.3</v>
      </c>
      <c r="H51" s="42">
        <v>1.8360000000000001</v>
      </c>
      <c r="I51" s="40">
        <v>1.2</v>
      </c>
      <c r="J51" s="40">
        <f>I51*2.74</f>
        <v>3.2880000000000003</v>
      </c>
      <c r="K51" s="39">
        <v>4</v>
      </c>
      <c r="L51" s="39">
        <f>K51*3.87</f>
        <v>15.48</v>
      </c>
      <c r="M51" s="20" t="s">
        <v>66</v>
      </c>
      <c r="N51" s="103" t="s">
        <v>66</v>
      </c>
      <c r="O51" s="151" t="s">
        <v>160</v>
      </c>
      <c r="P51" s="34" t="s">
        <v>108</v>
      </c>
      <c r="Q51" s="133"/>
    </row>
    <row r="52" spans="1:17" ht="28.5" customHeight="1" x14ac:dyDescent="0.25">
      <c r="A52" s="143">
        <v>22</v>
      </c>
      <c r="B52" s="141" t="s">
        <v>3</v>
      </c>
      <c r="C52" s="141" t="s">
        <v>86</v>
      </c>
      <c r="D52" s="141">
        <v>4.4000000000000004</v>
      </c>
      <c r="E52" s="141">
        <v>12.6</v>
      </c>
      <c r="F52" s="63">
        <v>8</v>
      </c>
      <c r="G52" s="75">
        <v>0.16</v>
      </c>
      <c r="H52" s="42">
        <v>0.34699999999999998</v>
      </c>
      <c r="I52" s="39">
        <v>6</v>
      </c>
      <c r="J52" s="17">
        <v>23.152412000000002</v>
      </c>
      <c r="K52" s="39">
        <v>2</v>
      </c>
      <c r="L52" s="17">
        <f>K52*3.87</f>
        <v>7.74</v>
      </c>
      <c r="M52" s="20" t="s">
        <v>66</v>
      </c>
      <c r="N52" s="103" t="s">
        <v>66</v>
      </c>
      <c r="O52" s="151" t="s">
        <v>158</v>
      </c>
      <c r="P52" s="34" t="s">
        <v>109</v>
      </c>
      <c r="Q52" s="133"/>
    </row>
    <row r="53" spans="1:17" ht="56.25" customHeight="1" x14ac:dyDescent="0.25">
      <c r="A53" s="162">
        <v>23</v>
      </c>
      <c r="B53" s="49" t="s">
        <v>12</v>
      </c>
      <c r="C53" s="49" t="s">
        <v>86</v>
      </c>
      <c r="D53" s="49">
        <v>3</v>
      </c>
      <c r="E53" s="49">
        <v>4</v>
      </c>
      <c r="F53" s="91">
        <v>0.7</v>
      </c>
      <c r="G53" s="96">
        <v>0.7</v>
      </c>
      <c r="H53" s="97">
        <v>3.145</v>
      </c>
      <c r="I53" s="20" t="s">
        <v>66</v>
      </c>
      <c r="J53" s="20" t="s">
        <v>66</v>
      </c>
      <c r="K53" s="20" t="s">
        <v>66</v>
      </c>
      <c r="L53" s="20" t="s">
        <v>66</v>
      </c>
      <c r="M53" s="20" t="s">
        <v>66</v>
      </c>
      <c r="N53" s="103" t="s">
        <v>66</v>
      </c>
      <c r="O53" s="151" t="s">
        <v>161</v>
      </c>
      <c r="P53" s="34" t="s">
        <v>110</v>
      </c>
      <c r="Q53" s="133"/>
    </row>
    <row r="54" spans="1:17" ht="35.25" customHeight="1" x14ac:dyDescent="0.25">
      <c r="A54" s="156">
        <v>24</v>
      </c>
      <c r="B54" s="141" t="s">
        <v>67</v>
      </c>
      <c r="C54" s="141" t="s">
        <v>86</v>
      </c>
      <c r="D54" s="141"/>
      <c r="E54" s="141">
        <v>8.6999999999999993</v>
      </c>
      <c r="F54" s="63">
        <v>8.6999999999999993</v>
      </c>
      <c r="G54" s="75">
        <v>0.49199999999999999</v>
      </c>
      <c r="H54" s="42">
        <v>0.99299999999999999</v>
      </c>
      <c r="I54" s="40">
        <v>1</v>
      </c>
      <c r="J54" s="40">
        <f>I54*2.74</f>
        <v>2.74</v>
      </c>
      <c r="K54" s="41">
        <v>8.6999999999999993</v>
      </c>
      <c r="L54" s="41">
        <f>K54*11</f>
        <v>95.699999999999989</v>
      </c>
      <c r="M54" s="20" t="s">
        <v>66</v>
      </c>
      <c r="N54" s="103" t="s">
        <v>66</v>
      </c>
      <c r="O54" s="151" t="s">
        <v>157</v>
      </c>
      <c r="P54" s="34" t="s">
        <v>241</v>
      </c>
      <c r="Q54" s="133"/>
    </row>
    <row r="55" spans="1:17" x14ac:dyDescent="0.25">
      <c r="A55" s="143"/>
      <c r="B55" s="53" t="s">
        <v>46</v>
      </c>
      <c r="C55" s="144"/>
      <c r="D55" s="11">
        <f t="shared" ref="D55:N55" si="6">SUM(D51:D54)</f>
        <v>7.4</v>
      </c>
      <c r="E55" s="11">
        <f t="shared" si="6"/>
        <v>29.3</v>
      </c>
      <c r="F55" s="67">
        <f t="shared" si="6"/>
        <v>21.4</v>
      </c>
      <c r="G55" s="80">
        <f t="shared" si="6"/>
        <v>2.6520000000000001</v>
      </c>
      <c r="H55" s="11">
        <f t="shared" si="6"/>
        <v>6.3209999999999997</v>
      </c>
      <c r="I55" s="11">
        <f t="shared" si="6"/>
        <v>8.1999999999999993</v>
      </c>
      <c r="J55" s="11">
        <f t="shared" si="6"/>
        <v>29.180412000000004</v>
      </c>
      <c r="K55" s="11">
        <f>SUM(K51:K54)</f>
        <v>14.7</v>
      </c>
      <c r="L55" s="11">
        <f>SUM(L51:L54)</f>
        <v>118.91999999999999</v>
      </c>
      <c r="M55" s="11">
        <f t="shared" si="6"/>
        <v>0</v>
      </c>
      <c r="N55" s="110">
        <f t="shared" si="6"/>
        <v>0</v>
      </c>
      <c r="O55" s="151"/>
      <c r="P55" s="165"/>
      <c r="Q55" s="133"/>
    </row>
    <row r="56" spans="1:17" x14ac:dyDescent="0.25">
      <c r="A56" s="143"/>
      <c r="B56" s="53"/>
      <c r="C56" s="144"/>
      <c r="D56" s="144"/>
      <c r="E56" s="144"/>
      <c r="F56" s="145"/>
      <c r="G56" s="146"/>
      <c r="H56" s="147"/>
      <c r="I56" s="147"/>
      <c r="J56" s="147"/>
      <c r="K56" s="147"/>
      <c r="L56" s="147"/>
      <c r="M56" s="153"/>
      <c r="N56" s="154"/>
      <c r="O56" s="151"/>
      <c r="P56" s="152"/>
      <c r="Q56" s="133"/>
    </row>
    <row r="57" spans="1:17" x14ac:dyDescent="0.25">
      <c r="A57" s="143"/>
      <c r="B57" s="53" t="s">
        <v>52</v>
      </c>
      <c r="C57" s="144"/>
      <c r="D57" s="144"/>
      <c r="E57" s="144"/>
      <c r="F57" s="145"/>
      <c r="G57" s="146"/>
      <c r="H57" s="147"/>
      <c r="I57" s="147"/>
      <c r="J57" s="147"/>
      <c r="K57" s="147"/>
      <c r="L57" s="147"/>
      <c r="M57" s="153"/>
      <c r="N57" s="154"/>
      <c r="O57" s="151"/>
      <c r="P57" s="35"/>
      <c r="Q57" s="133"/>
    </row>
    <row r="58" spans="1:17" ht="99" customHeight="1" x14ac:dyDescent="0.25">
      <c r="A58" s="164">
        <v>25</v>
      </c>
      <c r="B58" s="9" t="s">
        <v>72</v>
      </c>
      <c r="C58" s="141" t="s">
        <v>86</v>
      </c>
      <c r="D58" s="9"/>
      <c r="E58" s="9">
        <v>6.8929999999999998</v>
      </c>
      <c r="F58" s="62">
        <v>6.8929999999999998</v>
      </c>
      <c r="G58" s="70">
        <v>1.819</v>
      </c>
      <c r="H58" s="42">
        <v>3.125</v>
      </c>
      <c r="I58" s="51">
        <v>3.15</v>
      </c>
      <c r="J58" s="52">
        <v>90.168539999999993</v>
      </c>
      <c r="K58" s="51">
        <v>3.82</v>
      </c>
      <c r="L58" s="52">
        <v>86.412999999999997</v>
      </c>
      <c r="M58" s="20" t="s">
        <v>66</v>
      </c>
      <c r="N58" s="103" t="s">
        <v>66</v>
      </c>
      <c r="O58" s="151" t="s">
        <v>151</v>
      </c>
      <c r="P58" s="34" t="s">
        <v>242</v>
      </c>
      <c r="Q58" s="133"/>
    </row>
    <row r="59" spans="1:17" ht="51.75" customHeight="1" x14ac:dyDescent="0.25">
      <c r="A59" s="164">
        <v>26</v>
      </c>
      <c r="B59" s="9" t="s">
        <v>141</v>
      </c>
      <c r="C59" s="9" t="s">
        <v>87</v>
      </c>
      <c r="D59" s="9"/>
      <c r="E59" s="9">
        <v>6</v>
      </c>
      <c r="F59" s="62">
        <v>6</v>
      </c>
      <c r="G59" s="77">
        <v>1</v>
      </c>
      <c r="H59" s="39">
        <v>2.1360000000000001</v>
      </c>
      <c r="I59" s="40">
        <v>0.5</v>
      </c>
      <c r="J59" s="40">
        <f>I59*2.74</f>
        <v>1.37</v>
      </c>
      <c r="K59" s="41">
        <v>6</v>
      </c>
      <c r="L59" s="41">
        <f>K59*14</f>
        <v>84</v>
      </c>
      <c r="M59" s="20" t="s">
        <v>66</v>
      </c>
      <c r="N59" s="103" t="s">
        <v>66</v>
      </c>
      <c r="O59" s="151" t="s">
        <v>159</v>
      </c>
      <c r="P59" s="34" t="s">
        <v>113</v>
      </c>
      <c r="Q59" s="133"/>
    </row>
    <row r="60" spans="1:17" ht="35.25" customHeight="1" x14ac:dyDescent="0.25">
      <c r="A60" s="162">
        <v>27</v>
      </c>
      <c r="B60" s="49" t="s">
        <v>71</v>
      </c>
      <c r="C60" s="49" t="s">
        <v>86</v>
      </c>
      <c r="D60" s="49">
        <v>5.2789999999999999</v>
      </c>
      <c r="E60" s="49">
        <v>2.2999999999999998</v>
      </c>
      <c r="F60" s="91">
        <v>2.2999999999999998</v>
      </c>
      <c r="G60" s="94">
        <v>2.2999999999999998</v>
      </c>
      <c r="H60" s="95">
        <v>4.0789999999999997</v>
      </c>
      <c r="I60" s="20" t="s">
        <v>66</v>
      </c>
      <c r="J60" s="20" t="s">
        <v>66</v>
      </c>
      <c r="K60" s="20" t="s">
        <v>66</v>
      </c>
      <c r="L60" s="20" t="s">
        <v>66</v>
      </c>
      <c r="M60" s="20" t="s">
        <v>66</v>
      </c>
      <c r="N60" s="103" t="s">
        <v>66</v>
      </c>
      <c r="O60" s="151" t="s">
        <v>152</v>
      </c>
      <c r="P60" s="34" t="s">
        <v>114</v>
      </c>
      <c r="Q60" s="133"/>
    </row>
    <row r="61" spans="1:17" ht="42.75" customHeight="1" x14ac:dyDescent="0.25">
      <c r="A61" s="143">
        <v>28</v>
      </c>
      <c r="B61" s="141" t="s">
        <v>33</v>
      </c>
      <c r="C61" s="141" t="s">
        <v>86</v>
      </c>
      <c r="D61" s="141"/>
      <c r="E61" s="141">
        <v>2.75</v>
      </c>
      <c r="F61" s="66">
        <v>2.75</v>
      </c>
      <c r="G61" s="70">
        <v>0.53400000000000003</v>
      </c>
      <c r="H61" s="42">
        <v>1.585</v>
      </c>
      <c r="I61" s="18">
        <v>2.75</v>
      </c>
      <c r="J61" s="17">
        <v>8.285088</v>
      </c>
      <c r="K61" s="20" t="s">
        <v>66</v>
      </c>
      <c r="L61" s="20" t="s">
        <v>66</v>
      </c>
      <c r="M61" s="20" t="s">
        <v>66</v>
      </c>
      <c r="N61" s="103" t="s">
        <v>66</v>
      </c>
      <c r="O61" s="151" t="s">
        <v>153</v>
      </c>
      <c r="P61" s="34" t="s">
        <v>111</v>
      </c>
      <c r="Q61" s="133"/>
    </row>
    <row r="62" spans="1:17" ht="48" customHeight="1" x14ac:dyDescent="0.25">
      <c r="A62" s="143">
        <v>29</v>
      </c>
      <c r="B62" s="141" t="s">
        <v>32</v>
      </c>
      <c r="C62" s="141" t="s">
        <v>86</v>
      </c>
      <c r="D62" s="141"/>
      <c r="E62" s="141">
        <v>1.2</v>
      </c>
      <c r="F62" s="63">
        <v>1.2</v>
      </c>
      <c r="G62" s="75">
        <v>0.31</v>
      </c>
      <c r="H62" s="42">
        <v>0.40899999999999997</v>
      </c>
      <c r="I62" s="19">
        <v>0.25</v>
      </c>
      <c r="J62" s="40">
        <f>I62*2.74</f>
        <v>0.68500000000000005</v>
      </c>
      <c r="K62" s="39">
        <v>1.2</v>
      </c>
      <c r="L62" s="39">
        <f>K62*3.87</f>
        <v>4.6440000000000001</v>
      </c>
      <c r="M62" s="20" t="s">
        <v>66</v>
      </c>
      <c r="N62" s="103" t="s">
        <v>66</v>
      </c>
      <c r="O62" s="151" t="s">
        <v>154</v>
      </c>
      <c r="P62" s="34" t="s">
        <v>115</v>
      </c>
      <c r="Q62" s="133"/>
    </row>
    <row r="63" spans="1:17" ht="45.75" customHeight="1" x14ac:dyDescent="0.25">
      <c r="A63" s="143">
        <v>30</v>
      </c>
      <c r="B63" s="141" t="s">
        <v>31</v>
      </c>
      <c r="C63" s="141" t="s">
        <v>86</v>
      </c>
      <c r="D63" s="141"/>
      <c r="E63" s="141">
        <v>3.4</v>
      </c>
      <c r="F63" s="63">
        <v>3.4</v>
      </c>
      <c r="G63" s="70">
        <v>2.3250000000000002</v>
      </c>
      <c r="H63" s="42">
        <v>2.41</v>
      </c>
      <c r="I63" s="40">
        <v>1.1000000000000001</v>
      </c>
      <c r="J63" s="40">
        <f>I63*2.74</f>
        <v>3.0140000000000007</v>
      </c>
      <c r="K63" s="20" t="s">
        <v>66</v>
      </c>
      <c r="L63" s="20" t="s">
        <v>66</v>
      </c>
      <c r="M63" s="20" t="s">
        <v>66</v>
      </c>
      <c r="N63" s="103" t="s">
        <v>66</v>
      </c>
      <c r="O63" s="151" t="s">
        <v>155</v>
      </c>
      <c r="P63" s="34" t="s">
        <v>112</v>
      </c>
      <c r="Q63" s="133"/>
    </row>
    <row r="64" spans="1:17" ht="35.25" customHeight="1" x14ac:dyDescent="0.25">
      <c r="A64" s="143">
        <v>31</v>
      </c>
      <c r="B64" s="141" t="s">
        <v>205</v>
      </c>
      <c r="C64" s="141" t="s">
        <v>86</v>
      </c>
      <c r="D64" s="141">
        <v>7.9</v>
      </c>
      <c r="E64" s="141"/>
      <c r="F64" s="63">
        <v>7.9</v>
      </c>
      <c r="G64" s="71" t="s">
        <v>66</v>
      </c>
      <c r="H64" s="20" t="s">
        <v>66</v>
      </c>
      <c r="I64" s="20" t="s">
        <v>66</v>
      </c>
      <c r="J64" s="20" t="s">
        <v>66</v>
      </c>
      <c r="K64" s="20" t="s">
        <v>66</v>
      </c>
      <c r="L64" s="20" t="s">
        <v>66</v>
      </c>
      <c r="M64" s="43">
        <v>7.9</v>
      </c>
      <c r="N64" s="111">
        <f>M64*1000*6*2000/1000000</f>
        <v>94.8</v>
      </c>
      <c r="O64" s="151" t="s">
        <v>219</v>
      </c>
      <c r="P64" s="34" t="s">
        <v>208</v>
      </c>
      <c r="Q64" s="133"/>
    </row>
    <row r="65" spans="1:17" x14ac:dyDescent="0.25">
      <c r="A65" s="143"/>
      <c r="B65" s="3" t="s">
        <v>46</v>
      </c>
      <c r="C65" s="141"/>
      <c r="D65" s="11">
        <f t="shared" ref="D65:N65" si="7">SUM(D58:D64)</f>
        <v>13.179</v>
      </c>
      <c r="E65" s="11">
        <f t="shared" si="7"/>
        <v>22.542999999999999</v>
      </c>
      <c r="F65" s="67">
        <f t="shared" si="7"/>
        <v>30.442999999999998</v>
      </c>
      <c r="G65" s="80">
        <f t="shared" si="7"/>
        <v>8.2880000000000003</v>
      </c>
      <c r="H65" s="11">
        <f t="shared" si="7"/>
        <v>13.744000000000002</v>
      </c>
      <c r="I65" s="11">
        <f t="shared" si="7"/>
        <v>7.75</v>
      </c>
      <c r="J65" s="11">
        <f t="shared" si="7"/>
        <v>103.522628</v>
      </c>
      <c r="K65" s="11">
        <f t="shared" si="7"/>
        <v>11.02</v>
      </c>
      <c r="L65" s="11">
        <f t="shared" si="7"/>
        <v>175.05700000000002</v>
      </c>
      <c r="M65" s="11">
        <f t="shared" si="7"/>
        <v>7.9</v>
      </c>
      <c r="N65" s="110">
        <f t="shared" si="7"/>
        <v>94.8</v>
      </c>
      <c r="O65" s="151"/>
      <c r="P65" s="165"/>
      <c r="Q65" s="133"/>
    </row>
    <row r="66" spans="1:17" x14ac:dyDescent="0.25">
      <c r="A66" s="143"/>
      <c r="B66" s="3"/>
      <c r="C66" s="141"/>
      <c r="D66" s="141"/>
      <c r="E66" s="141"/>
      <c r="F66" s="63"/>
      <c r="G66" s="81"/>
      <c r="H66" s="38"/>
      <c r="I66" s="38"/>
      <c r="J66" s="38"/>
      <c r="K66" s="38"/>
      <c r="L66" s="38"/>
      <c r="M66" s="45"/>
      <c r="N66" s="112"/>
      <c r="O66" s="151"/>
      <c r="P66" s="152"/>
      <c r="Q66" s="133"/>
    </row>
    <row r="67" spans="1:17" x14ac:dyDescent="0.25">
      <c r="A67" s="143"/>
      <c r="B67" s="3" t="s">
        <v>53</v>
      </c>
      <c r="C67" s="141"/>
      <c r="D67" s="141"/>
      <c r="E67" s="141"/>
      <c r="F67" s="63"/>
      <c r="G67" s="81"/>
      <c r="H67" s="38"/>
      <c r="I67" s="38"/>
      <c r="J67" s="38"/>
      <c r="K67" s="38"/>
      <c r="L67" s="38"/>
      <c r="M67" s="45"/>
      <c r="N67" s="112"/>
      <c r="O67" s="151"/>
      <c r="P67" s="35"/>
      <c r="Q67" s="133"/>
    </row>
    <row r="68" spans="1:17" ht="70.5" customHeight="1" x14ac:dyDescent="0.25">
      <c r="A68" s="156">
        <v>32</v>
      </c>
      <c r="B68" s="141" t="s">
        <v>90</v>
      </c>
      <c r="C68" s="141" t="s">
        <v>87</v>
      </c>
      <c r="D68" s="141"/>
      <c r="E68" s="141">
        <v>4</v>
      </c>
      <c r="F68" s="63">
        <v>4</v>
      </c>
      <c r="G68" s="77">
        <v>1</v>
      </c>
      <c r="H68" s="39">
        <v>1.6140000000000001</v>
      </c>
      <c r="I68" s="39">
        <v>1.5</v>
      </c>
      <c r="J68" s="39">
        <v>3.40659</v>
      </c>
      <c r="K68" s="39">
        <v>1.5</v>
      </c>
      <c r="L68" s="39">
        <f>K68*3.87</f>
        <v>5.8049999999999997</v>
      </c>
      <c r="M68" s="20" t="s">
        <v>66</v>
      </c>
      <c r="N68" s="103" t="s">
        <v>66</v>
      </c>
      <c r="O68" s="151" t="s">
        <v>180</v>
      </c>
      <c r="P68" s="34" t="s">
        <v>116</v>
      </c>
      <c r="Q68" s="133"/>
    </row>
    <row r="69" spans="1:17" x14ac:dyDescent="0.25">
      <c r="A69" s="156"/>
      <c r="B69" s="3" t="s">
        <v>46</v>
      </c>
      <c r="C69" s="141"/>
      <c r="D69" s="13">
        <f t="shared" ref="D69:E69" si="8">SUM(D68)</f>
        <v>0</v>
      </c>
      <c r="E69" s="13">
        <f t="shared" si="8"/>
        <v>4</v>
      </c>
      <c r="F69" s="68">
        <f>SUM(F68)</f>
        <v>4</v>
      </c>
      <c r="G69" s="80">
        <f t="shared" ref="G69:N69" si="9">SUM(G68)</f>
        <v>1</v>
      </c>
      <c r="H69" s="11">
        <f t="shared" si="9"/>
        <v>1.6140000000000001</v>
      </c>
      <c r="I69" s="11">
        <f t="shared" si="9"/>
        <v>1.5</v>
      </c>
      <c r="J69" s="11">
        <f t="shared" si="9"/>
        <v>3.40659</v>
      </c>
      <c r="K69" s="11">
        <f t="shared" si="9"/>
        <v>1.5</v>
      </c>
      <c r="L69" s="11">
        <f t="shared" si="9"/>
        <v>5.8049999999999997</v>
      </c>
      <c r="M69" s="11">
        <f t="shared" si="9"/>
        <v>0</v>
      </c>
      <c r="N69" s="110">
        <f t="shared" si="9"/>
        <v>0</v>
      </c>
      <c r="O69" s="151"/>
      <c r="P69" s="165"/>
      <c r="Q69" s="133"/>
    </row>
    <row r="70" spans="1:17" x14ac:dyDescent="0.25">
      <c r="A70" s="156"/>
      <c r="B70" s="141"/>
      <c r="C70" s="141"/>
      <c r="D70" s="141"/>
      <c r="E70" s="141"/>
      <c r="F70" s="63"/>
      <c r="G70" s="81"/>
      <c r="H70" s="38"/>
      <c r="I70" s="38"/>
      <c r="J70" s="38"/>
      <c r="K70" s="38"/>
      <c r="L70" s="38"/>
      <c r="M70" s="45"/>
      <c r="N70" s="112"/>
      <c r="O70" s="151"/>
      <c r="P70" s="35"/>
      <c r="Q70" s="133"/>
    </row>
    <row r="71" spans="1:17" x14ac:dyDescent="0.25">
      <c r="A71" s="156"/>
      <c r="B71" s="3" t="s">
        <v>54</v>
      </c>
      <c r="C71" s="141"/>
      <c r="D71" s="141"/>
      <c r="E71" s="141"/>
      <c r="F71" s="63"/>
      <c r="G71" s="81"/>
      <c r="H71" s="38"/>
      <c r="I71" s="38"/>
      <c r="J71" s="38"/>
      <c r="K71" s="38"/>
      <c r="L71" s="38"/>
      <c r="M71" s="45"/>
      <c r="N71" s="112"/>
      <c r="O71" s="151"/>
      <c r="P71" s="35"/>
      <c r="Q71" s="133"/>
    </row>
    <row r="72" spans="1:17" ht="29.25" customHeight="1" x14ac:dyDescent="0.25">
      <c r="A72" s="201">
        <v>33</v>
      </c>
      <c r="B72" s="199" t="s">
        <v>14</v>
      </c>
      <c r="C72" s="199" t="s">
        <v>86</v>
      </c>
      <c r="D72" s="199">
        <v>14.05</v>
      </c>
      <c r="E72" s="199">
        <v>36.700000000000003</v>
      </c>
      <c r="F72" s="203">
        <v>26.7</v>
      </c>
      <c r="G72" s="75">
        <f>0.9+0.18+0.05</f>
        <v>1.1300000000000001</v>
      </c>
      <c r="H72" s="42">
        <f>3.97+1.201+0.347</f>
        <v>5.5180000000000007</v>
      </c>
      <c r="I72" s="208">
        <v>12</v>
      </c>
      <c r="J72" s="208">
        <v>114.540217</v>
      </c>
      <c r="K72" s="208">
        <v>8</v>
      </c>
      <c r="L72" s="208">
        <f>K72*7.3</f>
        <v>58.4</v>
      </c>
      <c r="M72" s="208">
        <v>6.7</v>
      </c>
      <c r="N72" s="184">
        <f>M72*7.3</f>
        <v>48.91</v>
      </c>
      <c r="O72" s="210" t="s">
        <v>156</v>
      </c>
      <c r="P72" s="212" t="s">
        <v>198</v>
      </c>
      <c r="Q72" s="133"/>
    </row>
    <row r="73" spans="1:17" ht="29.25" customHeight="1" x14ac:dyDescent="0.25">
      <c r="A73" s="202"/>
      <c r="B73" s="200"/>
      <c r="C73" s="200"/>
      <c r="D73" s="200"/>
      <c r="E73" s="200"/>
      <c r="F73" s="204"/>
      <c r="G73" s="77">
        <v>0</v>
      </c>
      <c r="H73" s="39">
        <v>1.38</v>
      </c>
      <c r="I73" s="209"/>
      <c r="J73" s="209"/>
      <c r="K73" s="209"/>
      <c r="L73" s="209"/>
      <c r="M73" s="209"/>
      <c r="N73" s="185"/>
      <c r="O73" s="211"/>
      <c r="P73" s="213"/>
      <c r="Q73" s="133"/>
    </row>
    <row r="74" spans="1:17" ht="35.25" customHeight="1" x14ac:dyDescent="0.25">
      <c r="A74" s="143">
        <v>34</v>
      </c>
      <c r="B74" s="141" t="s">
        <v>68</v>
      </c>
      <c r="C74" s="141" t="s">
        <v>86</v>
      </c>
      <c r="D74" s="141">
        <v>7.4</v>
      </c>
      <c r="E74" s="141">
        <v>35</v>
      </c>
      <c r="F74" s="63">
        <v>16.2</v>
      </c>
      <c r="G74" s="77">
        <v>11.2</v>
      </c>
      <c r="H74" s="39">
        <v>43.362000000000002</v>
      </c>
      <c r="I74" s="39">
        <v>5</v>
      </c>
      <c r="J74" s="39">
        <v>20.487366000000002</v>
      </c>
      <c r="K74" s="20" t="s">
        <v>66</v>
      </c>
      <c r="L74" s="20" t="s">
        <v>66</v>
      </c>
      <c r="M74" s="20" t="s">
        <v>66</v>
      </c>
      <c r="N74" s="103" t="s">
        <v>66</v>
      </c>
      <c r="O74" s="151" t="s">
        <v>195</v>
      </c>
      <c r="P74" s="35" t="s">
        <v>117</v>
      </c>
      <c r="Q74" s="133"/>
    </row>
    <row r="75" spans="1:17" ht="36" customHeight="1" x14ac:dyDescent="0.25">
      <c r="A75" s="143">
        <v>35</v>
      </c>
      <c r="B75" s="141" t="s">
        <v>142</v>
      </c>
      <c r="C75" s="141" t="s">
        <v>86</v>
      </c>
      <c r="D75" s="141">
        <v>4.3</v>
      </c>
      <c r="E75" s="141">
        <v>8.8000000000000007</v>
      </c>
      <c r="F75" s="63">
        <v>7.4</v>
      </c>
      <c r="G75" s="70">
        <v>1.248</v>
      </c>
      <c r="H75" s="42">
        <v>4.6779999999999999</v>
      </c>
      <c r="I75" s="40">
        <v>0.5</v>
      </c>
      <c r="J75" s="40">
        <f>I75*2.74</f>
        <v>1.37</v>
      </c>
      <c r="K75" s="41">
        <v>7.4</v>
      </c>
      <c r="L75" s="41">
        <f>K75*14</f>
        <v>103.60000000000001</v>
      </c>
      <c r="M75" s="20" t="s">
        <v>66</v>
      </c>
      <c r="N75" s="103" t="s">
        <v>66</v>
      </c>
      <c r="O75" s="151" t="s">
        <v>196</v>
      </c>
      <c r="P75" s="34" t="s">
        <v>243</v>
      </c>
      <c r="Q75" s="133"/>
    </row>
    <row r="76" spans="1:17" ht="39.75" customHeight="1" x14ac:dyDescent="0.25">
      <c r="A76" s="156">
        <v>36</v>
      </c>
      <c r="B76" s="141" t="s">
        <v>139</v>
      </c>
      <c r="C76" s="141" t="s">
        <v>87</v>
      </c>
      <c r="D76" s="141"/>
      <c r="E76" s="141">
        <v>9.8000000000000007</v>
      </c>
      <c r="F76" s="63">
        <v>9.8000000000000007</v>
      </c>
      <c r="G76" s="77">
        <v>1.5</v>
      </c>
      <c r="H76" s="39">
        <v>4.62</v>
      </c>
      <c r="I76" s="40">
        <v>0.2</v>
      </c>
      <c r="J76" s="40">
        <f>I76*2.74</f>
        <v>0.54800000000000004</v>
      </c>
      <c r="K76" s="41">
        <v>9.8000000000000007</v>
      </c>
      <c r="L76" s="41">
        <f>K76*14</f>
        <v>137.20000000000002</v>
      </c>
      <c r="M76" s="20" t="s">
        <v>66</v>
      </c>
      <c r="N76" s="103" t="s">
        <v>66</v>
      </c>
      <c r="O76" s="151" t="s">
        <v>196</v>
      </c>
      <c r="P76" s="34" t="s">
        <v>244</v>
      </c>
      <c r="Q76" s="133"/>
    </row>
    <row r="77" spans="1:17" ht="39.75" customHeight="1" x14ac:dyDescent="0.25">
      <c r="A77" s="156">
        <v>37</v>
      </c>
      <c r="B77" s="141" t="s">
        <v>216</v>
      </c>
      <c r="C77" s="141" t="s">
        <v>86</v>
      </c>
      <c r="D77" s="141">
        <v>2.2000000000000002</v>
      </c>
      <c r="E77" s="141">
        <v>35.5</v>
      </c>
      <c r="F77" s="63">
        <v>9.6999999999999993</v>
      </c>
      <c r="G77" s="71" t="s">
        <v>66</v>
      </c>
      <c r="H77" s="20" t="s">
        <v>66</v>
      </c>
      <c r="I77" s="40">
        <v>0.5</v>
      </c>
      <c r="J77" s="40">
        <f>I77*2.74</f>
        <v>1.37</v>
      </c>
      <c r="K77" s="40">
        <v>0.2</v>
      </c>
      <c r="L77" s="40">
        <f>K77*2.74</f>
        <v>0.54800000000000004</v>
      </c>
      <c r="M77" s="39">
        <v>6.2</v>
      </c>
      <c r="N77" s="106">
        <f>M77*3.87</f>
        <v>23.994</v>
      </c>
      <c r="O77" s="151"/>
      <c r="P77" s="34" t="s">
        <v>217</v>
      </c>
      <c r="Q77" s="133"/>
    </row>
    <row r="78" spans="1:17" x14ac:dyDescent="0.25">
      <c r="A78" s="143"/>
      <c r="B78" s="3" t="s">
        <v>46</v>
      </c>
      <c r="C78" s="141"/>
      <c r="D78" s="11">
        <f t="shared" ref="D78:N78" si="10">SUM(D72:D77)</f>
        <v>27.950000000000003</v>
      </c>
      <c r="E78" s="11">
        <f t="shared" si="10"/>
        <v>125.8</v>
      </c>
      <c r="F78" s="67">
        <f t="shared" si="10"/>
        <v>69.8</v>
      </c>
      <c r="G78" s="80">
        <f t="shared" si="10"/>
        <v>15.077999999999999</v>
      </c>
      <c r="H78" s="11">
        <f t="shared" si="10"/>
        <v>59.558</v>
      </c>
      <c r="I78" s="11">
        <f t="shared" si="10"/>
        <v>18.2</v>
      </c>
      <c r="J78" s="11">
        <f t="shared" si="10"/>
        <v>138.315583</v>
      </c>
      <c r="K78" s="11">
        <f t="shared" si="10"/>
        <v>25.400000000000002</v>
      </c>
      <c r="L78" s="11">
        <f t="shared" si="10"/>
        <v>299.74800000000005</v>
      </c>
      <c r="M78" s="11">
        <f t="shared" si="10"/>
        <v>12.9</v>
      </c>
      <c r="N78" s="110">
        <f t="shared" si="10"/>
        <v>72.903999999999996</v>
      </c>
      <c r="O78" s="151"/>
      <c r="P78" s="165"/>
      <c r="Q78" s="133"/>
    </row>
    <row r="79" spans="1:17" x14ac:dyDescent="0.25">
      <c r="A79" s="143"/>
      <c r="B79" s="141"/>
      <c r="C79" s="141"/>
      <c r="D79" s="141"/>
      <c r="E79" s="141"/>
      <c r="F79" s="63"/>
      <c r="G79" s="81"/>
      <c r="H79" s="38"/>
      <c r="I79" s="38"/>
      <c r="J79" s="38"/>
      <c r="K79" s="38"/>
      <c r="L79" s="38"/>
      <c r="M79" s="45"/>
      <c r="N79" s="112"/>
      <c r="O79" s="151"/>
      <c r="P79" s="35"/>
      <c r="Q79" s="133"/>
    </row>
    <row r="80" spans="1:17" x14ac:dyDescent="0.25">
      <c r="A80" s="143"/>
      <c r="B80" s="3" t="s">
        <v>55</v>
      </c>
      <c r="C80" s="141"/>
      <c r="D80" s="141"/>
      <c r="E80" s="141"/>
      <c r="F80" s="63"/>
      <c r="G80" s="81"/>
      <c r="H80" s="38"/>
      <c r="I80" s="38"/>
      <c r="J80" s="38"/>
      <c r="K80" s="38"/>
      <c r="L80" s="38"/>
      <c r="M80" s="45"/>
      <c r="N80" s="112"/>
      <c r="O80" s="151"/>
      <c r="P80" s="35"/>
      <c r="Q80" s="133"/>
    </row>
    <row r="81" spans="1:17" ht="60" customHeight="1" x14ac:dyDescent="0.25">
      <c r="A81" s="156">
        <v>38</v>
      </c>
      <c r="B81" s="141" t="s">
        <v>6</v>
      </c>
      <c r="C81" s="141" t="s">
        <v>87</v>
      </c>
      <c r="D81" s="141"/>
      <c r="E81" s="141">
        <v>3.8</v>
      </c>
      <c r="F81" s="63">
        <v>3.8</v>
      </c>
      <c r="G81" s="77">
        <v>0.5</v>
      </c>
      <c r="H81" s="18">
        <v>1.5029999999999999</v>
      </c>
      <c r="I81" s="40">
        <v>0.5</v>
      </c>
      <c r="J81" s="40">
        <f>I81*2.74</f>
        <v>1.37</v>
      </c>
      <c r="K81" s="55">
        <v>3.8</v>
      </c>
      <c r="L81" s="41">
        <f>K81*14</f>
        <v>53.199999999999996</v>
      </c>
      <c r="M81" s="20" t="s">
        <v>66</v>
      </c>
      <c r="N81" s="103" t="s">
        <v>66</v>
      </c>
      <c r="O81" s="151" t="s">
        <v>197</v>
      </c>
      <c r="P81" s="34" t="s">
        <v>122</v>
      </c>
      <c r="Q81" s="133"/>
    </row>
    <row r="82" spans="1:17" ht="30.75" customHeight="1" x14ac:dyDescent="0.25">
      <c r="A82" s="156">
        <v>39</v>
      </c>
      <c r="B82" s="141" t="s">
        <v>69</v>
      </c>
      <c r="C82" s="141" t="s">
        <v>87</v>
      </c>
      <c r="D82" s="141"/>
      <c r="E82" s="141">
        <v>2</v>
      </c>
      <c r="F82" s="63">
        <v>2</v>
      </c>
      <c r="G82" s="77">
        <v>1</v>
      </c>
      <c r="H82" s="39">
        <v>2.165</v>
      </c>
      <c r="I82" s="39">
        <v>1</v>
      </c>
      <c r="J82" s="39">
        <v>3.778896</v>
      </c>
      <c r="K82" s="20" t="s">
        <v>66</v>
      </c>
      <c r="L82" s="20" t="s">
        <v>66</v>
      </c>
      <c r="M82" s="20" t="s">
        <v>66</v>
      </c>
      <c r="N82" s="103" t="s">
        <v>66</v>
      </c>
      <c r="O82" s="151" t="s">
        <v>189</v>
      </c>
      <c r="P82" s="35" t="s">
        <v>123</v>
      </c>
      <c r="Q82" s="133"/>
    </row>
    <row r="83" spans="1:17" ht="40.5" customHeight="1" x14ac:dyDescent="0.25">
      <c r="A83" s="156">
        <v>40</v>
      </c>
      <c r="B83" s="141" t="s">
        <v>256</v>
      </c>
      <c r="C83" s="141" t="s">
        <v>87</v>
      </c>
      <c r="D83" s="141"/>
      <c r="E83" s="141">
        <v>5.6</v>
      </c>
      <c r="F83" s="63">
        <v>2</v>
      </c>
      <c r="G83" s="77">
        <v>1</v>
      </c>
      <c r="H83" s="39">
        <v>2.125</v>
      </c>
      <c r="I83" s="39">
        <v>1</v>
      </c>
      <c r="J83" s="39">
        <v>2.5978439999999998</v>
      </c>
      <c r="K83" s="20" t="s">
        <v>66</v>
      </c>
      <c r="L83" s="20" t="s">
        <v>66</v>
      </c>
      <c r="M83" s="132" t="s">
        <v>66</v>
      </c>
      <c r="N83" s="103" t="s">
        <v>66</v>
      </c>
      <c r="O83" s="151" t="s">
        <v>190</v>
      </c>
      <c r="P83" s="35" t="s">
        <v>124</v>
      </c>
      <c r="Q83" s="133"/>
    </row>
    <row r="84" spans="1:17" ht="44.25" customHeight="1" x14ac:dyDescent="0.25">
      <c r="A84" s="143">
        <v>41</v>
      </c>
      <c r="B84" s="141" t="s">
        <v>18</v>
      </c>
      <c r="C84" s="141" t="s">
        <v>86</v>
      </c>
      <c r="D84" s="141"/>
      <c r="E84" s="141">
        <v>5</v>
      </c>
      <c r="F84" s="63">
        <v>5</v>
      </c>
      <c r="G84" s="70">
        <v>1</v>
      </c>
      <c r="H84" s="42">
        <v>1.724</v>
      </c>
      <c r="I84" s="40">
        <v>1</v>
      </c>
      <c r="J84" s="40">
        <f>I84*2.74</f>
        <v>2.74</v>
      </c>
      <c r="K84" s="39">
        <v>3</v>
      </c>
      <c r="L84" s="39">
        <f>K84*3.87</f>
        <v>11.61</v>
      </c>
      <c r="M84" s="20" t="s">
        <v>66</v>
      </c>
      <c r="N84" s="103" t="s">
        <v>66</v>
      </c>
      <c r="O84" s="151" t="s">
        <v>191</v>
      </c>
      <c r="P84" s="35" t="s">
        <v>118</v>
      </c>
      <c r="Q84" s="133"/>
    </row>
    <row r="85" spans="1:17" ht="45.75" customHeight="1" x14ac:dyDescent="0.25">
      <c r="A85" s="143">
        <v>42</v>
      </c>
      <c r="B85" s="141" t="s">
        <v>17</v>
      </c>
      <c r="C85" s="141" t="s">
        <v>86</v>
      </c>
      <c r="D85" s="141">
        <v>1.2</v>
      </c>
      <c r="E85" s="141">
        <v>8.1</v>
      </c>
      <c r="F85" s="63">
        <v>8.1</v>
      </c>
      <c r="G85" s="70">
        <v>1</v>
      </c>
      <c r="H85" s="42">
        <v>1.724</v>
      </c>
      <c r="I85" s="40">
        <v>1</v>
      </c>
      <c r="J85" s="40">
        <f>I85*2.74</f>
        <v>2.74</v>
      </c>
      <c r="K85" s="39">
        <v>6.1</v>
      </c>
      <c r="L85" s="39">
        <f>K85*3.87</f>
        <v>23.606999999999999</v>
      </c>
      <c r="M85" s="20" t="s">
        <v>66</v>
      </c>
      <c r="N85" s="103" t="s">
        <v>66</v>
      </c>
      <c r="O85" s="151" t="s">
        <v>192</v>
      </c>
      <c r="P85" s="35" t="s">
        <v>119</v>
      </c>
      <c r="Q85" s="133"/>
    </row>
    <row r="86" spans="1:17" ht="46.5" customHeight="1" x14ac:dyDescent="0.25">
      <c r="A86" s="143">
        <v>43</v>
      </c>
      <c r="B86" s="141" t="s">
        <v>10</v>
      </c>
      <c r="C86" s="141" t="s">
        <v>86</v>
      </c>
      <c r="D86" s="141"/>
      <c r="E86" s="141">
        <v>7.5</v>
      </c>
      <c r="F86" s="63">
        <v>7.5</v>
      </c>
      <c r="G86" s="70">
        <v>1</v>
      </c>
      <c r="H86" s="42">
        <v>1.724</v>
      </c>
      <c r="I86" s="40">
        <v>1</v>
      </c>
      <c r="J86" s="40">
        <f>I86*2.74</f>
        <v>2.74</v>
      </c>
      <c r="K86" s="39">
        <v>5.5</v>
      </c>
      <c r="L86" s="39">
        <f>K86*3.87</f>
        <v>21.285</v>
      </c>
      <c r="M86" s="20" t="s">
        <v>66</v>
      </c>
      <c r="N86" s="103" t="s">
        <v>66</v>
      </c>
      <c r="O86" s="151" t="s">
        <v>193</v>
      </c>
      <c r="P86" s="35" t="s">
        <v>120</v>
      </c>
      <c r="Q86" s="133"/>
    </row>
    <row r="87" spans="1:17" ht="37.5" customHeight="1" x14ac:dyDescent="0.25">
      <c r="A87" s="156">
        <v>44</v>
      </c>
      <c r="B87" s="141" t="s">
        <v>9</v>
      </c>
      <c r="C87" s="141" t="s">
        <v>86</v>
      </c>
      <c r="D87" s="141">
        <v>1.6719999999999999</v>
      </c>
      <c r="E87" s="141">
        <v>49.828000000000003</v>
      </c>
      <c r="F87" s="63">
        <v>8.9</v>
      </c>
      <c r="G87" s="70">
        <v>2</v>
      </c>
      <c r="H87" s="42">
        <v>3.448</v>
      </c>
      <c r="I87" s="41">
        <v>9.0250000000000004</v>
      </c>
      <c r="J87" s="41">
        <v>82.793857000000003</v>
      </c>
      <c r="K87" s="20" t="s">
        <v>66</v>
      </c>
      <c r="L87" s="20" t="s">
        <v>66</v>
      </c>
      <c r="M87" s="20" t="s">
        <v>66</v>
      </c>
      <c r="N87" s="103" t="s">
        <v>66</v>
      </c>
      <c r="O87" s="151" t="s">
        <v>194</v>
      </c>
      <c r="P87" s="35" t="s">
        <v>121</v>
      </c>
      <c r="Q87" s="133"/>
    </row>
    <row r="88" spans="1:17" ht="37.5" customHeight="1" x14ac:dyDescent="0.25">
      <c r="A88" s="156">
        <v>45</v>
      </c>
      <c r="B88" s="141" t="s">
        <v>212</v>
      </c>
      <c r="C88" s="141" t="s">
        <v>86</v>
      </c>
      <c r="D88" s="141"/>
      <c r="E88" s="141">
        <v>7.4</v>
      </c>
      <c r="F88" s="63">
        <v>7.4</v>
      </c>
      <c r="G88" s="71" t="s">
        <v>66</v>
      </c>
      <c r="H88" s="20" t="s">
        <v>66</v>
      </c>
      <c r="I88" s="40">
        <v>0.5</v>
      </c>
      <c r="J88" s="40">
        <f>I88*2.74</f>
        <v>1.37</v>
      </c>
      <c r="K88" s="40">
        <v>0.5</v>
      </c>
      <c r="L88" s="40">
        <f>K88*2.74</f>
        <v>1.37</v>
      </c>
      <c r="M88" s="39">
        <v>7.4</v>
      </c>
      <c r="N88" s="106">
        <f>M88*5.07</f>
        <v>37.518000000000001</v>
      </c>
      <c r="O88" s="151" t="s">
        <v>214</v>
      </c>
      <c r="P88" s="35" t="s">
        <v>213</v>
      </c>
      <c r="Q88" s="133"/>
    </row>
    <row r="89" spans="1:17" x14ac:dyDescent="0.25">
      <c r="A89" s="143"/>
      <c r="B89" s="3" t="s">
        <v>46</v>
      </c>
      <c r="C89" s="3"/>
      <c r="D89" s="11">
        <f t="shared" ref="D89:N89" si="11">SUM(D81:D88)</f>
        <v>2.8719999999999999</v>
      </c>
      <c r="E89" s="11">
        <f t="shared" si="11"/>
        <v>89.228000000000009</v>
      </c>
      <c r="F89" s="67">
        <f t="shared" si="11"/>
        <v>44.699999999999996</v>
      </c>
      <c r="G89" s="80">
        <f t="shared" si="11"/>
        <v>7.5</v>
      </c>
      <c r="H89" s="11">
        <f t="shared" si="11"/>
        <v>14.413</v>
      </c>
      <c r="I89" s="11">
        <f>SUM(I81:I88)</f>
        <v>15.025</v>
      </c>
      <c r="J89" s="11">
        <f t="shared" si="11"/>
        <v>100.13059700000001</v>
      </c>
      <c r="K89" s="11">
        <f>SUM(K81:K88)</f>
        <v>18.899999999999999</v>
      </c>
      <c r="L89" s="11">
        <f t="shared" si="11"/>
        <v>111.072</v>
      </c>
      <c r="M89" s="11">
        <f t="shared" si="11"/>
        <v>7.4</v>
      </c>
      <c r="N89" s="110">
        <f t="shared" si="11"/>
        <v>37.518000000000001</v>
      </c>
      <c r="O89" s="151"/>
      <c r="P89" s="165"/>
      <c r="Q89" s="133"/>
    </row>
    <row r="90" spans="1:17" x14ac:dyDescent="0.25">
      <c r="A90" s="143"/>
      <c r="B90" s="3"/>
      <c r="C90" s="3"/>
      <c r="D90" s="3"/>
      <c r="E90" s="3"/>
      <c r="F90" s="67"/>
      <c r="G90" s="80"/>
      <c r="H90" s="11"/>
      <c r="I90" s="11"/>
      <c r="J90" s="11"/>
      <c r="K90" s="11"/>
      <c r="L90" s="11"/>
      <c r="M90" s="44"/>
      <c r="N90" s="113"/>
      <c r="O90" s="151"/>
      <c r="P90" s="152"/>
      <c r="Q90" s="133"/>
    </row>
    <row r="91" spans="1:17" x14ac:dyDescent="0.25">
      <c r="A91" s="143"/>
      <c r="B91" s="3" t="s">
        <v>56</v>
      </c>
      <c r="C91" s="3"/>
      <c r="D91" s="3"/>
      <c r="E91" s="3"/>
      <c r="F91" s="67"/>
      <c r="G91" s="80"/>
      <c r="H91" s="11"/>
      <c r="I91" s="11"/>
      <c r="J91" s="11"/>
      <c r="K91" s="11"/>
      <c r="L91" s="11"/>
      <c r="M91" s="44"/>
      <c r="N91" s="113"/>
      <c r="O91" s="151"/>
      <c r="P91" s="152"/>
      <c r="Q91" s="133"/>
    </row>
    <row r="92" spans="1:17" ht="102.75" customHeight="1" x14ac:dyDescent="0.25">
      <c r="A92" s="156">
        <v>46</v>
      </c>
      <c r="B92" s="141" t="s">
        <v>5</v>
      </c>
      <c r="C92" s="141" t="s">
        <v>86</v>
      </c>
      <c r="D92" s="141">
        <v>3.9</v>
      </c>
      <c r="E92" s="141">
        <v>9.6999999999999993</v>
      </c>
      <c r="F92" s="63">
        <v>1</v>
      </c>
      <c r="G92" s="70">
        <v>1.2</v>
      </c>
      <c r="H92" s="40">
        <v>1.2290000000000001</v>
      </c>
      <c r="I92" s="40">
        <v>0.5</v>
      </c>
      <c r="J92" s="40">
        <f>I92*2.74</f>
        <v>1.37</v>
      </c>
      <c r="K92" s="52">
        <v>1</v>
      </c>
      <c r="L92" s="51">
        <v>95.647000000000006</v>
      </c>
      <c r="M92" s="20" t="s">
        <v>66</v>
      </c>
      <c r="N92" s="103" t="s">
        <v>66</v>
      </c>
      <c r="O92" s="151" t="s">
        <v>168</v>
      </c>
      <c r="P92" s="34" t="s">
        <v>125</v>
      </c>
      <c r="Q92" s="133"/>
    </row>
    <row r="93" spans="1:17" ht="28.5" customHeight="1" x14ac:dyDescent="0.25">
      <c r="A93" s="156">
        <v>47</v>
      </c>
      <c r="B93" s="4" t="s">
        <v>36</v>
      </c>
      <c r="C93" s="141" t="s">
        <v>86</v>
      </c>
      <c r="D93" s="141"/>
      <c r="E93" s="141">
        <v>7.2</v>
      </c>
      <c r="F93" s="63">
        <v>7.2</v>
      </c>
      <c r="G93" s="70">
        <v>1.8</v>
      </c>
      <c r="H93" s="40">
        <v>1.748</v>
      </c>
      <c r="I93" s="41">
        <v>6.306</v>
      </c>
      <c r="J93" s="41">
        <v>76.538027</v>
      </c>
      <c r="K93" s="20" t="s">
        <v>66</v>
      </c>
      <c r="L93" s="20" t="s">
        <v>66</v>
      </c>
      <c r="M93" s="20" t="s">
        <v>66</v>
      </c>
      <c r="N93" s="103" t="s">
        <v>66</v>
      </c>
      <c r="O93" s="151" t="s">
        <v>162</v>
      </c>
      <c r="P93" s="35" t="s">
        <v>126</v>
      </c>
      <c r="Q93" s="133"/>
    </row>
    <row r="94" spans="1:17" x14ac:dyDescent="0.25">
      <c r="A94" s="143"/>
      <c r="B94" s="3" t="s">
        <v>46</v>
      </c>
      <c r="C94" s="3"/>
      <c r="D94" s="11">
        <f t="shared" ref="D94:N94" si="12">SUM(D92:D93)</f>
        <v>3.9</v>
      </c>
      <c r="E94" s="11">
        <f t="shared" si="12"/>
        <v>16.899999999999999</v>
      </c>
      <c r="F94" s="67">
        <f t="shared" si="12"/>
        <v>8.1999999999999993</v>
      </c>
      <c r="G94" s="80">
        <f t="shared" si="12"/>
        <v>3</v>
      </c>
      <c r="H94" s="11">
        <f t="shared" si="12"/>
        <v>2.9770000000000003</v>
      </c>
      <c r="I94" s="11">
        <f t="shared" si="12"/>
        <v>6.806</v>
      </c>
      <c r="J94" s="11">
        <f t="shared" si="12"/>
        <v>77.908027000000004</v>
      </c>
      <c r="K94" s="11">
        <f t="shared" si="12"/>
        <v>1</v>
      </c>
      <c r="L94" s="11">
        <f t="shared" si="12"/>
        <v>95.647000000000006</v>
      </c>
      <c r="M94" s="11">
        <f t="shared" si="12"/>
        <v>0</v>
      </c>
      <c r="N94" s="110">
        <f t="shared" si="12"/>
        <v>0</v>
      </c>
      <c r="O94" s="151"/>
      <c r="P94" s="165"/>
      <c r="Q94" s="133"/>
    </row>
    <row r="95" spans="1:17" x14ac:dyDescent="0.25">
      <c r="A95" s="143"/>
      <c r="B95" s="3"/>
      <c r="C95" s="3"/>
      <c r="D95" s="3"/>
      <c r="E95" s="3"/>
      <c r="F95" s="67"/>
      <c r="G95" s="80"/>
      <c r="H95" s="11"/>
      <c r="I95" s="11"/>
      <c r="J95" s="11"/>
      <c r="K95" s="11"/>
      <c r="L95" s="11"/>
      <c r="M95" s="44"/>
      <c r="N95" s="113"/>
      <c r="O95" s="151"/>
      <c r="P95" s="152"/>
      <c r="Q95" s="133"/>
    </row>
    <row r="96" spans="1:17" x14ac:dyDescent="0.25">
      <c r="A96" s="143"/>
      <c r="B96" s="3" t="s">
        <v>57</v>
      </c>
      <c r="C96" s="3"/>
      <c r="D96" s="3"/>
      <c r="E96" s="3"/>
      <c r="F96" s="67"/>
      <c r="G96" s="80"/>
      <c r="H96" s="11"/>
      <c r="I96" s="11"/>
      <c r="J96" s="11"/>
      <c r="K96" s="11"/>
      <c r="L96" s="11"/>
      <c r="M96" s="44"/>
      <c r="N96" s="113"/>
      <c r="O96" s="151"/>
      <c r="P96" s="152"/>
      <c r="Q96" s="133"/>
    </row>
    <row r="97" spans="1:17" ht="47.25" customHeight="1" x14ac:dyDescent="0.25">
      <c r="A97" s="156">
        <v>48</v>
      </c>
      <c r="B97" s="141" t="s">
        <v>89</v>
      </c>
      <c r="C97" s="141" t="s">
        <v>86</v>
      </c>
      <c r="D97" s="141">
        <v>3.7</v>
      </c>
      <c r="E97" s="141">
        <v>35.5</v>
      </c>
      <c r="F97" s="63">
        <v>8.4</v>
      </c>
      <c r="G97" s="75">
        <v>2.0299999999999998</v>
      </c>
      <c r="H97" s="42">
        <v>5.533595</v>
      </c>
      <c r="I97" s="19">
        <v>2</v>
      </c>
      <c r="J97" s="40">
        <f>I97*2.74</f>
        <v>5.48</v>
      </c>
      <c r="K97" s="55">
        <v>4.8739999999999997</v>
      </c>
      <c r="L97" s="55">
        <v>189.03700000000001</v>
      </c>
      <c r="M97" s="20" t="s">
        <v>66</v>
      </c>
      <c r="N97" s="103" t="s">
        <v>66</v>
      </c>
      <c r="O97" s="151" t="s">
        <v>162</v>
      </c>
      <c r="P97" s="34" t="s">
        <v>245</v>
      </c>
      <c r="Q97" s="133"/>
    </row>
    <row r="98" spans="1:17" x14ac:dyDescent="0.25">
      <c r="A98" s="143"/>
      <c r="B98" s="3" t="s">
        <v>46</v>
      </c>
      <c r="C98" s="3"/>
      <c r="D98" s="11">
        <f>SUM(D97:D97)</f>
        <v>3.7</v>
      </c>
      <c r="E98" s="11">
        <f t="shared" ref="E98:N98" si="13">SUM(E97:E97)</f>
        <v>35.5</v>
      </c>
      <c r="F98" s="67">
        <f t="shared" si="13"/>
        <v>8.4</v>
      </c>
      <c r="G98" s="80">
        <f t="shared" si="13"/>
        <v>2.0299999999999998</v>
      </c>
      <c r="H98" s="11">
        <f t="shared" si="13"/>
        <v>5.533595</v>
      </c>
      <c r="I98" s="11">
        <f t="shared" si="13"/>
        <v>2</v>
      </c>
      <c r="J98" s="11">
        <f t="shared" si="13"/>
        <v>5.48</v>
      </c>
      <c r="K98" s="11">
        <f t="shared" si="13"/>
        <v>4.8739999999999997</v>
      </c>
      <c r="L98" s="11">
        <f t="shared" si="13"/>
        <v>189.03700000000001</v>
      </c>
      <c r="M98" s="11">
        <f t="shared" si="13"/>
        <v>0</v>
      </c>
      <c r="N98" s="110">
        <f t="shared" si="13"/>
        <v>0</v>
      </c>
      <c r="O98" s="151"/>
      <c r="P98" s="165"/>
      <c r="Q98" s="133"/>
    </row>
    <row r="99" spans="1:17" x14ac:dyDescent="0.25">
      <c r="A99" s="143"/>
      <c r="B99" s="3"/>
      <c r="C99" s="3"/>
      <c r="D99" s="3"/>
      <c r="E99" s="3"/>
      <c r="F99" s="67"/>
      <c r="G99" s="80"/>
      <c r="H99" s="11"/>
      <c r="I99" s="11"/>
      <c r="J99" s="11"/>
      <c r="K99" s="11"/>
      <c r="L99" s="11"/>
      <c r="M99" s="44"/>
      <c r="N99" s="113"/>
      <c r="O99" s="151"/>
      <c r="P99" s="152"/>
      <c r="Q99" s="133"/>
    </row>
    <row r="100" spans="1:17" x14ac:dyDescent="0.25">
      <c r="A100" s="143"/>
      <c r="B100" s="3" t="s">
        <v>58</v>
      </c>
      <c r="C100" s="3"/>
      <c r="D100" s="3"/>
      <c r="E100" s="3"/>
      <c r="F100" s="67"/>
      <c r="G100" s="80"/>
      <c r="H100" s="11"/>
      <c r="I100" s="11"/>
      <c r="J100" s="11"/>
      <c r="K100" s="11"/>
      <c r="L100" s="11"/>
      <c r="M100" s="44"/>
      <c r="N100" s="113"/>
      <c r="O100" s="151"/>
      <c r="P100" s="152"/>
      <c r="Q100" s="133"/>
    </row>
    <row r="101" spans="1:17" ht="258.75" customHeight="1" x14ac:dyDescent="0.25">
      <c r="A101" s="156">
        <v>49</v>
      </c>
      <c r="B101" s="4" t="s">
        <v>37</v>
      </c>
      <c r="C101" s="141" t="s">
        <v>86</v>
      </c>
      <c r="D101" s="141">
        <v>11.2</v>
      </c>
      <c r="E101" s="141">
        <v>16.8</v>
      </c>
      <c r="F101" s="63">
        <v>16.8</v>
      </c>
      <c r="G101" s="70">
        <v>1</v>
      </c>
      <c r="H101" s="42">
        <v>2.3159999999999998</v>
      </c>
      <c r="I101" s="25">
        <v>8.3000000000000007</v>
      </c>
      <c r="J101" s="25">
        <v>76.903998000000001</v>
      </c>
      <c r="K101" s="25">
        <v>8.5</v>
      </c>
      <c r="L101" s="25">
        <f>K101*6.92</f>
        <v>58.82</v>
      </c>
      <c r="M101" s="20" t="s">
        <v>66</v>
      </c>
      <c r="N101" s="103" t="s">
        <v>66</v>
      </c>
      <c r="O101" s="151" t="s">
        <v>181</v>
      </c>
      <c r="P101" s="34" t="s">
        <v>127</v>
      </c>
      <c r="Q101" s="133"/>
    </row>
    <row r="102" spans="1:17" x14ac:dyDescent="0.25">
      <c r="A102" s="143"/>
      <c r="B102" s="3" t="s">
        <v>46</v>
      </c>
      <c r="C102" s="3"/>
      <c r="D102" s="11">
        <f t="shared" ref="D102:N102" si="14">SUM(D101:D101)</f>
        <v>11.2</v>
      </c>
      <c r="E102" s="11">
        <f t="shared" si="14"/>
        <v>16.8</v>
      </c>
      <c r="F102" s="67">
        <f t="shared" si="14"/>
        <v>16.8</v>
      </c>
      <c r="G102" s="80">
        <f t="shared" si="14"/>
        <v>1</v>
      </c>
      <c r="H102" s="11">
        <f t="shared" si="14"/>
        <v>2.3159999999999998</v>
      </c>
      <c r="I102" s="11">
        <f t="shared" si="14"/>
        <v>8.3000000000000007</v>
      </c>
      <c r="J102" s="11">
        <f t="shared" si="14"/>
        <v>76.903998000000001</v>
      </c>
      <c r="K102" s="11">
        <f t="shared" si="14"/>
        <v>8.5</v>
      </c>
      <c r="L102" s="11">
        <f t="shared" si="14"/>
        <v>58.82</v>
      </c>
      <c r="M102" s="11">
        <f t="shared" si="14"/>
        <v>0</v>
      </c>
      <c r="N102" s="110">
        <f t="shared" si="14"/>
        <v>0</v>
      </c>
      <c r="O102" s="151"/>
      <c r="P102" s="165"/>
      <c r="Q102" s="133"/>
    </row>
    <row r="103" spans="1:17" x14ac:dyDescent="0.25">
      <c r="A103" s="143"/>
      <c r="B103" s="3"/>
      <c r="C103" s="3"/>
      <c r="D103" s="3"/>
      <c r="E103" s="3"/>
      <c r="F103" s="67"/>
      <c r="G103" s="80"/>
      <c r="H103" s="11"/>
      <c r="I103" s="11"/>
      <c r="J103" s="11"/>
      <c r="K103" s="11"/>
      <c r="L103" s="11"/>
      <c r="M103" s="44"/>
      <c r="N103" s="113"/>
      <c r="O103" s="151"/>
      <c r="P103" s="152"/>
      <c r="Q103" s="133"/>
    </row>
    <row r="104" spans="1:17" x14ac:dyDescent="0.25">
      <c r="A104" s="143"/>
      <c r="B104" s="3" t="s">
        <v>257</v>
      </c>
      <c r="C104" s="3"/>
      <c r="D104" s="3"/>
      <c r="E104" s="3"/>
      <c r="F104" s="67"/>
      <c r="G104" s="136"/>
      <c r="H104" s="137"/>
      <c r="I104" s="11"/>
      <c r="J104" s="11"/>
      <c r="K104" s="11"/>
      <c r="L104" s="11"/>
      <c r="M104" s="44"/>
      <c r="N104" s="113"/>
      <c r="O104" s="151"/>
      <c r="P104" s="152"/>
      <c r="Q104" s="133"/>
    </row>
    <row r="105" spans="1:17" ht="25.5" x14ac:dyDescent="0.25">
      <c r="A105" s="143">
        <v>50</v>
      </c>
      <c r="B105" s="141" t="s">
        <v>258</v>
      </c>
      <c r="C105" s="141" t="s">
        <v>86</v>
      </c>
      <c r="D105" s="141">
        <v>4</v>
      </c>
      <c r="E105" s="141"/>
      <c r="F105" s="63">
        <v>4</v>
      </c>
      <c r="G105" s="20" t="s">
        <v>66</v>
      </c>
      <c r="H105" s="20" t="s">
        <v>66</v>
      </c>
      <c r="I105" s="20" t="s">
        <v>66</v>
      </c>
      <c r="J105" s="20" t="s">
        <v>66</v>
      </c>
      <c r="K105" s="20" t="s">
        <v>66</v>
      </c>
      <c r="L105" s="20" t="s">
        <v>66</v>
      </c>
      <c r="M105" s="45">
        <v>4</v>
      </c>
      <c r="N105" s="112">
        <v>40</v>
      </c>
      <c r="O105" s="151"/>
      <c r="P105" s="152"/>
      <c r="Q105" s="133"/>
    </row>
    <row r="106" spans="1:17" x14ac:dyDescent="0.25">
      <c r="A106" s="143"/>
      <c r="B106" s="3"/>
      <c r="C106" s="3"/>
      <c r="D106" s="3"/>
      <c r="E106" s="3"/>
      <c r="F106" s="67"/>
      <c r="G106" s="138"/>
      <c r="H106" s="139"/>
      <c r="I106" s="11"/>
      <c r="J106" s="11"/>
      <c r="K106" s="11"/>
      <c r="L106" s="11"/>
      <c r="M106" s="44"/>
      <c r="N106" s="113"/>
      <c r="O106" s="151"/>
      <c r="P106" s="152"/>
      <c r="Q106" s="133"/>
    </row>
    <row r="107" spans="1:17" x14ac:dyDescent="0.25">
      <c r="A107" s="143"/>
      <c r="B107" s="3"/>
      <c r="C107" s="3"/>
      <c r="D107" s="3"/>
      <c r="E107" s="3"/>
      <c r="F107" s="67"/>
      <c r="G107" s="80"/>
      <c r="H107" s="11"/>
      <c r="I107" s="11"/>
      <c r="J107" s="11"/>
      <c r="K107" s="11"/>
      <c r="L107" s="11"/>
      <c r="M107" s="44"/>
      <c r="N107" s="113"/>
      <c r="O107" s="151"/>
      <c r="P107" s="152"/>
      <c r="Q107" s="133"/>
    </row>
    <row r="108" spans="1:17" x14ac:dyDescent="0.25">
      <c r="A108" s="143"/>
      <c r="B108" s="3" t="s">
        <v>59</v>
      </c>
      <c r="C108" s="141"/>
      <c r="D108" s="141"/>
      <c r="E108" s="141"/>
      <c r="F108" s="63"/>
      <c r="G108" s="81"/>
      <c r="H108" s="38"/>
      <c r="I108" s="38"/>
      <c r="J108" s="38"/>
      <c r="K108" s="38"/>
      <c r="L108" s="38"/>
      <c r="M108" s="45"/>
      <c r="N108" s="112"/>
      <c r="O108" s="151"/>
      <c r="P108" s="35"/>
      <c r="Q108" s="133"/>
    </row>
    <row r="109" spans="1:17" ht="56.25" customHeight="1" x14ac:dyDescent="0.25">
      <c r="A109" s="156">
        <v>51</v>
      </c>
      <c r="B109" s="141" t="s">
        <v>11</v>
      </c>
      <c r="C109" s="141" t="s">
        <v>86</v>
      </c>
      <c r="D109" s="141">
        <v>3.6</v>
      </c>
      <c r="E109" s="141">
        <v>35.200000000000003</v>
      </c>
      <c r="F109" s="63">
        <v>18.5</v>
      </c>
      <c r="G109" s="75">
        <v>1.9570000000000001</v>
      </c>
      <c r="H109" s="42">
        <v>5.6239999999999997</v>
      </c>
      <c r="I109" s="39">
        <v>10</v>
      </c>
      <c r="J109" s="39">
        <v>61.075764999999997</v>
      </c>
      <c r="K109" s="39">
        <v>8.5</v>
      </c>
      <c r="L109" s="39">
        <f>K109*5.07</f>
        <v>43.094999999999999</v>
      </c>
      <c r="M109" s="20" t="s">
        <v>66</v>
      </c>
      <c r="N109" s="103" t="s">
        <v>66</v>
      </c>
      <c r="O109" s="151" t="s">
        <v>169</v>
      </c>
      <c r="P109" s="34" t="s">
        <v>128</v>
      </c>
      <c r="Q109" s="133"/>
    </row>
    <row r="110" spans="1:17" x14ac:dyDescent="0.25">
      <c r="A110" s="143"/>
      <c r="B110" s="3" t="s">
        <v>46</v>
      </c>
      <c r="C110" s="141"/>
      <c r="D110" s="13">
        <f>SUM(D109:D109)</f>
        <v>3.6</v>
      </c>
      <c r="E110" s="13">
        <f t="shared" ref="E110:N110" si="15">SUM(E109:E109)</f>
        <v>35.200000000000003</v>
      </c>
      <c r="F110" s="68">
        <f t="shared" si="15"/>
        <v>18.5</v>
      </c>
      <c r="G110" s="82">
        <f t="shared" si="15"/>
        <v>1.9570000000000001</v>
      </c>
      <c r="H110" s="13">
        <f t="shared" si="15"/>
        <v>5.6239999999999997</v>
      </c>
      <c r="I110" s="13">
        <f t="shared" si="15"/>
        <v>10</v>
      </c>
      <c r="J110" s="13">
        <f t="shared" si="15"/>
        <v>61.075764999999997</v>
      </c>
      <c r="K110" s="13">
        <f t="shared" si="15"/>
        <v>8.5</v>
      </c>
      <c r="L110" s="13">
        <f t="shared" si="15"/>
        <v>43.094999999999999</v>
      </c>
      <c r="M110" s="13">
        <f t="shared" si="15"/>
        <v>0</v>
      </c>
      <c r="N110" s="114">
        <f t="shared" si="15"/>
        <v>0</v>
      </c>
      <c r="O110" s="151"/>
      <c r="P110" s="165"/>
      <c r="Q110" s="133"/>
    </row>
    <row r="111" spans="1:17" x14ac:dyDescent="0.25">
      <c r="A111" s="143"/>
      <c r="B111" s="141"/>
      <c r="C111" s="141"/>
      <c r="D111" s="141"/>
      <c r="E111" s="141"/>
      <c r="F111" s="63"/>
      <c r="G111" s="81"/>
      <c r="H111" s="38"/>
      <c r="I111" s="38"/>
      <c r="J111" s="38"/>
      <c r="K111" s="38"/>
      <c r="L111" s="38"/>
      <c r="M111" s="45"/>
      <c r="N111" s="112"/>
      <c r="O111" s="151"/>
      <c r="P111" s="35"/>
      <c r="Q111" s="133"/>
    </row>
    <row r="112" spans="1:17" x14ac:dyDescent="0.25">
      <c r="A112" s="143"/>
      <c r="B112" s="3" t="s">
        <v>60</v>
      </c>
      <c r="C112" s="141"/>
      <c r="D112" s="141"/>
      <c r="E112" s="141"/>
      <c r="F112" s="63"/>
      <c r="G112" s="81"/>
      <c r="H112" s="38"/>
      <c r="I112" s="38"/>
      <c r="J112" s="38"/>
      <c r="K112" s="38"/>
      <c r="L112" s="38"/>
      <c r="M112" s="45"/>
      <c r="N112" s="112"/>
      <c r="O112" s="151"/>
      <c r="P112" s="35"/>
      <c r="Q112" s="133"/>
    </row>
    <row r="113" spans="1:17" ht="47.25" customHeight="1" x14ac:dyDescent="0.25">
      <c r="A113" s="156">
        <v>52</v>
      </c>
      <c r="B113" s="4" t="s">
        <v>43</v>
      </c>
      <c r="C113" s="141" t="s">
        <v>86</v>
      </c>
      <c r="D113" s="141">
        <v>11.3</v>
      </c>
      <c r="E113" s="141">
        <v>22.4</v>
      </c>
      <c r="F113" s="63">
        <v>11.4</v>
      </c>
      <c r="G113" s="77">
        <v>4</v>
      </c>
      <c r="H113" s="39">
        <v>16.079000000000001</v>
      </c>
      <c r="I113" s="39">
        <v>5</v>
      </c>
      <c r="J113" s="39">
        <v>19.786830999999999</v>
      </c>
      <c r="K113" s="39">
        <v>2.4</v>
      </c>
      <c r="L113" s="39">
        <f>K113*3.87</f>
        <v>9.2880000000000003</v>
      </c>
      <c r="M113" s="20" t="s">
        <v>66</v>
      </c>
      <c r="N113" s="103" t="s">
        <v>66</v>
      </c>
      <c r="O113" s="151" t="s">
        <v>174</v>
      </c>
      <c r="P113" s="34" t="s">
        <v>129</v>
      </c>
      <c r="Q113" s="133"/>
    </row>
    <row r="114" spans="1:17" ht="138.75" customHeight="1" x14ac:dyDescent="0.25">
      <c r="A114" s="143">
        <v>53</v>
      </c>
      <c r="B114" s="141" t="s">
        <v>19</v>
      </c>
      <c r="C114" s="141" t="s">
        <v>86</v>
      </c>
      <c r="D114" s="141"/>
      <c r="E114" s="141">
        <v>13.3</v>
      </c>
      <c r="F114" s="63">
        <v>13.3</v>
      </c>
      <c r="G114" s="75">
        <v>1.5840000000000001</v>
      </c>
      <c r="H114" s="42">
        <v>4.6208840000000002</v>
      </c>
      <c r="I114" s="19">
        <v>1</v>
      </c>
      <c r="J114" s="40">
        <f>I114*2.74</f>
        <v>2.74</v>
      </c>
      <c r="K114" s="39">
        <v>13.3</v>
      </c>
      <c r="L114" s="39">
        <f>K114*3.87</f>
        <v>51.471000000000004</v>
      </c>
      <c r="M114" s="20" t="s">
        <v>66</v>
      </c>
      <c r="N114" s="103" t="s">
        <v>66</v>
      </c>
      <c r="O114" s="151" t="s">
        <v>259</v>
      </c>
      <c r="P114" s="34" t="s">
        <v>130</v>
      </c>
      <c r="Q114" s="133"/>
    </row>
    <row r="115" spans="1:17" ht="54" customHeight="1" x14ac:dyDescent="0.25">
      <c r="A115" s="143">
        <v>54</v>
      </c>
      <c r="B115" s="4" t="s">
        <v>20</v>
      </c>
      <c r="C115" s="141" t="s">
        <v>86</v>
      </c>
      <c r="D115" s="141"/>
      <c r="E115" s="141">
        <v>13</v>
      </c>
      <c r="F115" s="63">
        <v>13</v>
      </c>
      <c r="G115" s="70">
        <v>0.8</v>
      </c>
      <c r="H115" s="42">
        <v>2.3336999999999999</v>
      </c>
      <c r="I115" s="19">
        <v>0.5</v>
      </c>
      <c r="J115" s="40">
        <f>I115*2.74</f>
        <v>1.37</v>
      </c>
      <c r="K115" s="39">
        <v>13</v>
      </c>
      <c r="L115" s="39">
        <f>K115*3.87</f>
        <v>50.31</v>
      </c>
      <c r="M115" s="20" t="s">
        <v>66</v>
      </c>
      <c r="N115" s="103" t="s">
        <v>66</v>
      </c>
      <c r="O115" s="151" t="s">
        <v>175</v>
      </c>
      <c r="P115" s="34" t="s">
        <v>131</v>
      </c>
      <c r="Q115" s="133"/>
    </row>
    <row r="116" spans="1:17" ht="54" customHeight="1" x14ac:dyDescent="0.25">
      <c r="A116" s="143">
        <v>55</v>
      </c>
      <c r="B116" s="4" t="s">
        <v>218</v>
      </c>
      <c r="C116" s="141" t="s">
        <v>86</v>
      </c>
      <c r="D116" s="141">
        <v>1.3</v>
      </c>
      <c r="E116" s="141">
        <v>7.7</v>
      </c>
      <c r="F116" s="63">
        <v>5.3</v>
      </c>
      <c r="G116" s="71" t="s">
        <v>66</v>
      </c>
      <c r="H116" s="20" t="s">
        <v>66</v>
      </c>
      <c r="I116" s="19">
        <v>0.5</v>
      </c>
      <c r="J116" s="40">
        <f>I116*2.74</f>
        <v>1.37</v>
      </c>
      <c r="K116" s="19">
        <v>0.5</v>
      </c>
      <c r="L116" s="40">
        <f>K116*2.74</f>
        <v>1.37</v>
      </c>
      <c r="M116" s="39">
        <v>5.3</v>
      </c>
      <c r="N116" s="106">
        <f>M116*3.87</f>
        <v>20.510999999999999</v>
      </c>
      <c r="O116" s="151"/>
      <c r="P116" s="34"/>
      <c r="Q116" s="133"/>
    </row>
    <row r="117" spans="1:17" x14ac:dyDescent="0.25">
      <c r="A117" s="143"/>
      <c r="B117" s="3" t="s">
        <v>46</v>
      </c>
      <c r="C117" s="3"/>
      <c r="D117" s="13">
        <f>SUM(D113:D116)</f>
        <v>12.600000000000001</v>
      </c>
      <c r="E117" s="13">
        <f t="shared" ref="E117:N117" si="16">SUM(E113:E116)</f>
        <v>56.400000000000006</v>
      </c>
      <c r="F117" s="68">
        <f t="shared" si="16"/>
        <v>43</v>
      </c>
      <c r="G117" s="82">
        <f t="shared" si="16"/>
        <v>6.3839999999999995</v>
      </c>
      <c r="H117" s="13">
        <f t="shared" si="16"/>
        <v>23.033584000000001</v>
      </c>
      <c r="I117" s="13">
        <f t="shared" si="16"/>
        <v>7</v>
      </c>
      <c r="J117" s="13">
        <f t="shared" si="16"/>
        <v>25.266831000000003</v>
      </c>
      <c r="K117" s="13">
        <f t="shared" si="16"/>
        <v>29.200000000000003</v>
      </c>
      <c r="L117" s="13">
        <f t="shared" si="16"/>
        <v>112.43900000000001</v>
      </c>
      <c r="M117" s="13">
        <f t="shared" si="16"/>
        <v>5.3</v>
      </c>
      <c r="N117" s="114">
        <f t="shared" si="16"/>
        <v>20.510999999999999</v>
      </c>
      <c r="O117" s="151"/>
      <c r="P117" s="165"/>
      <c r="Q117" s="133"/>
    </row>
    <row r="118" spans="1:17" x14ac:dyDescent="0.25">
      <c r="A118" s="143"/>
      <c r="B118" s="141"/>
      <c r="C118" s="141"/>
      <c r="D118" s="141"/>
      <c r="E118" s="141"/>
      <c r="F118" s="63"/>
      <c r="G118" s="81"/>
      <c r="H118" s="38"/>
      <c r="I118" s="38"/>
      <c r="J118" s="38"/>
      <c r="K118" s="38"/>
      <c r="L118" s="38"/>
      <c r="M118" s="45"/>
      <c r="N118" s="112"/>
      <c r="O118" s="151"/>
      <c r="P118" s="35"/>
      <c r="Q118" s="133"/>
    </row>
    <row r="119" spans="1:17" x14ac:dyDescent="0.25">
      <c r="A119" s="143"/>
      <c r="B119" s="3" t="s">
        <v>61</v>
      </c>
      <c r="C119" s="141"/>
      <c r="D119" s="141"/>
      <c r="E119" s="141"/>
      <c r="F119" s="63"/>
      <c r="G119" s="81"/>
      <c r="H119" s="38"/>
      <c r="I119" s="38"/>
      <c r="J119" s="38"/>
      <c r="K119" s="38"/>
      <c r="L119" s="38"/>
      <c r="M119" s="45"/>
      <c r="N119" s="112"/>
      <c r="O119" s="151"/>
      <c r="P119" s="35"/>
      <c r="Q119" s="133"/>
    </row>
    <row r="120" spans="1:17" ht="40.5" customHeight="1" x14ac:dyDescent="0.25">
      <c r="A120" s="143">
        <v>56</v>
      </c>
      <c r="B120" s="141" t="s">
        <v>70</v>
      </c>
      <c r="C120" s="141" t="s">
        <v>86</v>
      </c>
      <c r="D120" s="141"/>
      <c r="E120" s="141">
        <v>6.7</v>
      </c>
      <c r="F120" s="65">
        <v>6.7</v>
      </c>
      <c r="G120" s="70">
        <v>1</v>
      </c>
      <c r="H120" s="42">
        <v>2.3330000000000002</v>
      </c>
      <c r="I120" s="19">
        <v>0.5</v>
      </c>
      <c r="J120" s="40">
        <f>I120*2.74</f>
        <v>1.37</v>
      </c>
      <c r="K120" s="55">
        <v>6.7</v>
      </c>
      <c r="L120" s="41">
        <f>K120*14</f>
        <v>93.8</v>
      </c>
      <c r="M120" s="20" t="s">
        <v>66</v>
      </c>
      <c r="N120" s="103" t="s">
        <v>66</v>
      </c>
      <c r="O120" s="151" t="s">
        <v>186</v>
      </c>
      <c r="P120" s="34" t="s">
        <v>138</v>
      </c>
      <c r="Q120" s="133"/>
    </row>
    <row r="121" spans="1:17" ht="69" customHeight="1" x14ac:dyDescent="0.25">
      <c r="A121" s="156">
        <v>57</v>
      </c>
      <c r="B121" s="141" t="s">
        <v>88</v>
      </c>
      <c r="C121" s="141" t="s">
        <v>86</v>
      </c>
      <c r="D121" s="141">
        <v>26.15</v>
      </c>
      <c r="E121" s="141">
        <v>22.9</v>
      </c>
      <c r="F121" s="65">
        <v>22.9</v>
      </c>
      <c r="G121" s="70">
        <v>2.625</v>
      </c>
      <c r="H121" s="42">
        <v>4.609</v>
      </c>
      <c r="I121" s="39">
        <v>5</v>
      </c>
      <c r="J121" s="39">
        <v>20.443446999999999</v>
      </c>
      <c r="K121" s="39">
        <v>8</v>
      </c>
      <c r="L121" s="39">
        <f>K121*3.87</f>
        <v>30.96</v>
      </c>
      <c r="M121" s="39">
        <v>7.3</v>
      </c>
      <c r="N121" s="106">
        <f>M121*3.87</f>
        <v>28.251000000000001</v>
      </c>
      <c r="O121" s="151" t="s">
        <v>260</v>
      </c>
      <c r="P121" s="34" t="s">
        <v>199</v>
      </c>
      <c r="Q121" s="133"/>
    </row>
    <row r="122" spans="1:17" ht="125.25" customHeight="1" x14ac:dyDescent="0.25">
      <c r="A122" s="143">
        <v>58</v>
      </c>
      <c r="B122" s="141" t="s">
        <v>22</v>
      </c>
      <c r="C122" s="141" t="s">
        <v>86</v>
      </c>
      <c r="D122" s="141">
        <v>1.7</v>
      </c>
      <c r="E122" s="141">
        <v>3.2</v>
      </c>
      <c r="F122" s="65">
        <v>1.7</v>
      </c>
      <c r="G122" s="70">
        <v>0.3</v>
      </c>
      <c r="H122" s="42">
        <v>0.55600000000000005</v>
      </c>
      <c r="I122" s="20" t="s">
        <v>66</v>
      </c>
      <c r="J122" s="20" t="s">
        <v>66</v>
      </c>
      <c r="K122" s="20" t="s">
        <v>66</v>
      </c>
      <c r="L122" s="20" t="s">
        <v>66</v>
      </c>
      <c r="M122" s="39">
        <v>1.7</v>
      </c>
      <c r="N122" s="106">
        <f>M122*6*1.3</f>
        <v>13.26</v>
      </c>
      <c r="O122" s="151" t="s">
        <v>187</v>
      </c>
      <c r="P122" s="35" t="s">
        <v>229</v>
      </c>
      <c r="Q122" s="133"/>
    </row>
    <row r="123" spans="1:17" ht="68.25" customHeight="1" x14ac:dyDescent="0.25">
      <c r="A123" s="162">
        <v>59</v>
      </c>
      <c r="B123" s="49" t="s">
        <v>75</v>
      </c>
      <c r="C123" s="49" t="s">
        <v>86</v>
      </c>
      <c r="D123" s="49"/>
      <c r="E123" s="49">
        <v>4.4000000000000004</v>
      </c>
      <c r="F123" s="88">
        <v>4.4000000000000004</v>
      </c>
      <c r="G123" s="96">
        <v>4.4000000000000004</v>
      </c>
      <c r="H123" s="97">
        <v>15.378</v>
      </c>
      <c r="I123" s="20" t="s">
        <v>66</v>
      </c>
      <c r="J123" s="20" t="s">
        <v>66</v>
      </c>
      <c r="K123" s="20" t="s">
        <v>66</v>
      </c>
      <c r="L123" s="20" t="s">
        <v>66</v>
      </c>
      <c r="M123" s="20" t="s">
        <v>66</v>
      </c>
      <c r="N123" s="103" t="s">
        <v>66</v>
      </c>
      <c r="O123" s="151" t="s">
        <v>246</v>
      </c>
      <c r="P123" s="34" t="s">
        <v>247</v>
      </c>
      <c r="Q123" s="133"/>
    </row>
    <row r="124" spans="1:17" ht="60.75" customHeight="1" x14ac:dyDescent="0.25">
      <c r="A124" s="155">
        <v>60</v>
      </c>
      <c r="B124" s="49" t="s">
        <v>21</v>
      </c>
      <c r="C124" s="49" t="s">
        <v>86</v>
      </c>
      <c r="D124" s="49">
        <v>2.4</v>
      </c>
      <c r="E124" s="49">
        <v>2.2999999999999998</v>
      </c>
      <c r="F124" s="88">
        <v>1.6</v>
      </c>
      <c r="G124" s="94">
        <v>1.62</v>
      </c>
      <c r="H124" s="95">
        <v>2.835</v>
      </c>
      <c r="I124" s="20" t="s">
        <v>66</v>
      </c>
      <c r="J124" s="20" t="s">
        <v>66</v>
      </c>
      <c r="K124" s="20" t="s">
        <v>66</v>
      </c>
      <c r="L124" s="20" t="s">
        <v>66</v>
      </c>
      <c r="M124" s="20" t="s">
        <v>66</v>
      </c>
      <c r="N124" s="103" t="s">
        <v>66</v>
      </c>
      <c r="O124" s="151" t="s">
        <v>188</v>
      </c>
      <c r="P124" s="35" t="s">
        <v>200</v>
      </c>
      <c r="Q124" s="133"/>
    </row>
    <row r="125" spans="1:17" x14ac:dyDescent="0.25">
      <c r="A125" s="143"/>
      <c r="B125" s="3" t="s">
        <v>46</v>
      </c>
      <c r="C125" s="3"/>
      <c r="D125" s="13">
        <f t="shared" ref="D125:N125" si="17">SUM(D120:D124)</f>
        <v>30.249999999999996</v>
      </c>
      <c r="E125" s="13">
        <f t="shared" si="17"/>
        <v>39.499999999999993</v>
      </c>
      <c r="F125" s="68">
        <f t="shared" si="17"/>
        <v>37.299999999999997</v>
      </c>
      <c r="G125" s="82">
        <f t="shared" si="17"/>
        <v>9.9450000000000003</v>
      </c>
      <c r="H125" s="13">
        <f t="shared" si="17"/>
        <v>25.711000000000002</v>
      </c>
      <c r="I125" s="13">
        <f t="shared" si="17"/>
        <v>5.5</v>
      </c>
      <c r="J125" s="13">
        <f t="shared" si="17"/>
        <v>21.813447</v>
      </c>
      <c r="K125" s="13">
        <f t="shared" si="17"/>
        <v>14.7</v>
      </c>
      <c r="L125" s="13">
        <f t="shared" si="17"/>
        <v>124.75999999999999</v>
      </c>
      <c r="M125" s="13">
        <f t="shared" si="17"/>
        <v>9</v>
      </c>
      <c r="N125" s="114">
        <f t="shared" si="17"/>
        <v>41.511000000000003</v>
      </c>
      <c r="O125" s="151"/>
      <c r="P125" s="165"/>
      <c r="Q125" s="133"/>
    </row>
    <row r="126" spans="1:17" x14ac:dyDescent="0.25">
      <c r="A126" s="143"/>
      <c r="B126" s="3"/>
      <c r="C126" s="3"/>
      <c r="D126" s="3"/>
      <c r="E126" s="3"/>
      <c r="F126" s="67"/>
      <c r="G126" s="80"/>
      <c r="H126" s="11"/>
      <c r="I126" s="11"/>
      <c r="J126" s="11"/>
      <c r="K126" s="11"/>
      <c r="L126" s="11"/>
      <c r="M126" s="44"/>
      <c r="N126" s="113"/>
      <c r="O126" s="151"/>
      <c r="P126" s="152"/>
      <c r="Q126" s="133"/>
    </row>
    <row r="127" spans="1:17" x14ac:dyDescent="0.25">
      <c r="A127" s="143"/>
      <c r="B127" s="3" t="s">
        <v>62</v>
      </c>
      <c r="C127" s="3"/>
      <c r="D127" s="3"/>
      <c r="E127" s="3"/>
      <c r="F127" s="67"/>
      <c r="G127" s="80"/>
      <c r="H127" s="11"/>
      <c r="I127" s="11"/>
      <c r="J127" s="11"/>
      <c r="K127" s="11"/>
      <c r="L127" s="11"/>
      <c r="M127" s="44"/>
      <c r="N127" s="113"/>
      <c r="O127" s="151"/>
      <c r="P127" s="152"/>
      <c r="Q127" s="133"/>
    </row>
    <row r="128" spans="1:17" ht="54.75" customHeight="1" x14ac:dyDescent="0.25">
      <c r="A128" s="156">
        <v>61</v>
      </c>
      <c r="B128" s="141" t="s">
        <v>39</v>
      </c>
      <c r="C128" s="141" t="s">
        <v>86</v>
      </c>
      <c r="D128" s="141"/>
      <c r="E128" s="141">
        <v>5.2</v>
      </c>
      <c r="F128" s="63">
        <v>5.2</v>
      </c>
      <c r="G128" s="70">
        <v>1</v>
      </c>
      <c r="H128" s="42">
        <v>1.879</v>
      </c>
      <c r="I128" s="19">
        <v>0.5</v>
      </c>
      <c r="J128" s="40">
        <f>I128*2.74</f>
        <v>1.37</v>
      </c>
      <c r="K128" s="55">
        <v>5.2</v>
      </c>
      <c r="L128" s="41">
        <f>K128*14</f>
        <v>72.8</v>
      </c>
      <c r="M128" s="20" t="s">
        <v>66</v>
      </c>
      <c r="N128" s="103" t="s">
        <v>66</v>
      </c>
      <c r="O128" s="151" t="s">
        <v>170</v>
      </c>
      <c r="P128" s="34" t="s">
        <v>248</v>
      </c>
      <c r="Q128" s="133"/>
    </row>
    <row r="129" spans="1:17" ht="28.5" customHeight="1" x14ac:dyDescent="0.25">
      <c r="A129" s="156">
        <v>62</v>
      </c>
      <c r="B129" s="141" t="s">
        <v>76</v>
      </c>
      <c r="C129" s="141" t="s">
        <v>87</v>
      </c>
      <c r="D129" s="141"/>
      <c r="E129" s="141">
        <v>2</v>
      </c>
      <c r="F129" s="63">
        <v>2</v>
      </c>
      <c r="G129" s="77">
        <v>0.3</v>
      </c>
      <c r="H129" s="18">
        <v>0.95399999999999996</v>
      </c>
      <c r="I129" s="39">
        <v>1.7</v>
      </c>
      <c r="J129" s="18">
        <v>6.1357309999999998</v>
      </c>
      <c r="K129" s="20" t="s">
        <v>66</v>
      </c>
      <c r="L129" s="20" t="s">
        <v>66</v>
      </c>
      <c r="M129" s="20" t="s">
        <v>66</v>
      </c>
      <c r="N129" s="103" t="s">
        <v>66</v>
      </c>
      <c r="O129" s="151" t="s">
        <v>162</v>
      </c>
      <c r="P129" s="35" t="s">
        <v>136</v>
      </c>
      <c r="Q129" s="133"/>
    </row>
    <row r="130" spans="1:17" ht="169.5" customHeight="1" x14ac:dyDescent="0.25">
      <c r="A130" s="156">
        <v>63</v>
      </c>
      <c r="B130" s="141" t="s">
        <v>42</v>
      </c>
      <c r="C130" s="141" t="s">
        <v>86</v>
      </c>
      <c r="D130" s="141"/>
      <c r="E130" s="141">
        <v>18.2</v>
      </c>
      <c r="F130" s="63">
        <v>8.4</v>
      </c>
      <c r="G130" s="77">
        <v>6</v>
      </c>
      <c r="H130" s="39">
        <v>17.7</v>
      </c>
      <c r="I130" s="39">
        <v>2.4</v>
      </c>
      <c r="J130" s="39">
        <v>9.4507100000000008</v>
      </c>
      <c r="K130" s="20" t="s">
        <v>66</v>
      </c>
      <c r="L130" s="20" t="s">
        <v>66</v>
      </c>
      <c r="M130" s="20" t="s">
        <v>66</v>
      </c>
      <c r="N130" s="103" t="s">
        <v>66</v>
      </c>
      <c r="O130" s="151" t="s">
        <v>172</v>
      </c>
      <c r="P130" s="34" t="s">
        <v>201</v>
      </c>
      <c r="Q130" s="133"/>
    </row>
    <row r="131" spans="1:17" ht="91.5" customHeight="1" x14ac:dyDescent="0.25">
      <c r="A131" s="156">
        <v>64</v>
      </c>
      <c r="B131" s="141" t="s">
        <v>40</v>
      </c>
      <c r="C131" s="141" t="s">
        <v>86</v>
      </c>
      <c r="D131" s="141">
        <v>24.86</v>
      </c>
      <c r="E131" s="141">
        <v>3.54</v>
      </c>
      <c r="F131" s="63">
        <v>3.5</v>
      </c>
      <c r="G131" s="70">
        <v>0.33</v>
      </c>
      <c r="H131" s="42">
        <v>0.62</v>
      </c>
      <c r="I131" s="19">
        <v>0.5</v>
      </c>
      <c r="J131" s="40">
        <f>I131*2.74</f>
        <v>1.37</v>
      </c>
      <c r="K131" s="52">
        <v>2.5</v>
      </c>
      <c r="L131" s="51">
        <f>K131*35</f>
        <v>87.5</v>
      </c>
      <c r="M131" s="25">
        <v>1</v>
      </c>
      <c r="N131" s="115">
        <f>M131*10.8</f>
        <v>10.8</v>
      </c>
      <c r="O131" s="151" t="s">
        <v>173</v>
      </c>
      <c r="P131" s="34" t="s">
        <v>210</v>
      </c>
      <c r="Q131" s="133"/>
    </row>
    <row r="132" spans="1:17" ht="103.5" customHeight="1" x14ac:dyDescent="0.25">
      <c r="A132" s="156">
        <v>65</v>
      </c>
      <c r="B132" s="141" t="s">
        <v>74</v>
      </c>
      <c r="C132" s="141" t="s">
        <v>86</v>
      </c>
      <c r="D132" s="141">
        <v>1.2</v>
      </c>
      <c r="E132" s="141">
        <v>6.8</v>
      </c>
      <c r="F132" s="63">
        <v>6.5</v>
      </c>
      <c r="G132" s="70">
        <v>0.56000000000000005</v>
      </c>
      <c r="H132" s="42">
        <v>1.0760000000000001</v>
      </c>
      <c r="I132" s="41">
        <v>2.2999999999999998</v>
      </c>
      <c r="J132" s="41">
        <f>47.8+23.8</f>
        <v>71.599999999999994</v>
      </c>
      <c r="K132" s="41">
        <v>4.2</v>
      </c>
      <c r="L132" s="41">
        <v>162.31399999999999</v>
      </c>
      <c r="M132" s="20" t="s">
        <v>66</v>
      </c>
      <c r="N132" s="103" t="s">
        <v>66</v>
      </c>
      <c r="O132" s="151" t="s">
        <v>171</v>
      </c>
      <c r="P132" s="142" t="s">
        <v>137</v>
      </c>
      <c r="Q132" s="133"/>
    </row>
    <row r="133" spans="1:17" ht="24.75" customHeight="1" x14ac:dyDescent="0.25">
      <c r="A133" s="156">
        <v>66</v>
      </c>
      <c r="B133" s="141" t="s">
        <v>204</v>
      </c>
      <c r="C133" s="141" t="s">
        <v>86</v>
      </c>
      <c r="D133" s="141">
        <v>2.794</v>
      </c>
      <c r="E133" s="141">
        <v>16.077000000000002</v>
      </c>
      <c r="F133" s="63">
        <v>8</v>
      </c>
      <c r="G133" s="71" t="s">
        <v>66</v>
      </c>
      <c r="H133" s="20" t="s">
        <v>66</v>
      </c>
      <c r="I133" s="19">
        <v>1</v>
      </c>
      <c r="J133" s="40">
        <f>I133*2.74</f>
        <v>2.74</v>
      </c>
      <c r="K133" s="19">
        <v>1</v>
      </c>
      <c r="L133" s="40">
        <f>K133*2.74</f>
        <v>2.74</v>
      </c>
      <c r="M133" s="48">
        <v>4</v>
      </c>
      <c r="N133" s="116">
        <f>M133*5.07</f>
        <v>20.28</v>
      </c>
      <c r="O133" s="151"/>
      <c r="P133" s="142" t="s">
        <v>211</v>
      </c>
      <c r="Q133" s="133"/>
    </row>
    <row r="134" spans="1:17" x14ac:dyDescent="0.25">
      <c r="A134" s="143"/>
      <c r="B134" s="3" t="s">
        <v>46</v>
      </c>
      <c r="C134" s="3"/>
      <c r="D134" s="12">
        <f t="shared" ref="D134:N134" si="18">SUM(D128:D133)</f>
        <v>28.853999999999999</v>
      </c>
      <c r="E134" s="12">
        <f t="shared" si="18"/>
        <v>51.816999999999993</v>
      </c>
      <c r="F134" s="64">
        <f t="shared" si="18"/>
        <v>33.6</v>
      </c>
      <c r="G134" s="79">
        <f t="shared" si="18"/>
        <v>8.19</v>
      </c>
      <c r="H134" s="12">
        <f t="shared" si="18"/>
        <v>22.229000000000003</v>
      </c>
      <c r="I134" s="12">
        <f t="shared" si="18"/>
        <v>8.3999999999999986</v>
      </c>
      <c r="J134" s="12">
        <f t="shared" si="18"/>
        <v>92.666440999999992</v>
      </c>
      <c r="K134" s="12">
        <f t="shared" si="18"/>
        <v>12.9</v>
      </c>
      <c r="L134" s="12">
        <f t="shared" si="18"/>
        <v>325.35400000000004</v>
      </c>
      <c r="M134" s="12">
        <f t="shared" si="18"/>
        <v>5</v>
      </c>
      <c r="N134" s="108">
        <f t="shared" si="18"/>
        <v>31.080000000000002</v>
      </c>
      <c r="O134" s="151"/>
      <c r="P134" s="152"/>
      <c r="Q134" s="133"/>
    </row>
    <row r="135" spans="1:17" x14ac:dyDescent="0.25">
      <c r="A135" s="143"/>
      <c r="B135" s="3"/>
      <c r="C135" s="3"/>
      <c r="D135" s="3"/>
      <c r="E135" s="3"/>
      <c r="F135" s="67"/>
      <c r="G135" s="80"/>
      <c r="H135" s="11"/>
      <c r="I135" s="11"/>
      <c r="J135" s="11"/>
      <c r="K135" s="11"/>
      <c r="L135" s="11"/>
      <c r="M135" s="44"/>
      <c r="N135" s="113"/>
      <c r="O135" s="151"/>
      <c r="P135" s="152"/>
      <c r="Q135" s="133"/>
    </row>
    <row r="136" spans="1:17" ht="27" customHeight="1" x14ac:dyDescent="0.25">
      <c r="A136" s="143"/>
      <c r="B136" s="3" t="s">
        <v>63</v>
      </c>
      <c r="C136" s="3"/>
      <c r="D136" s="3"/>
      <c r="E136" s="3"/>
      <c r="F136" s="67"/>
      <c r="G136" s="80"/>
      <c r="H136" s="11"/>
      <c r="I136" s="11"/>
      <c r="J136" s="11"/>
      <c r="K136" s="11"/>
      <c r="L136" s="11"/>
      <c r="M136" s="44"/>
      <c r="N136" s="113"/>
      <c r="O136" s="151"/>
      <c r="P136" s="152"/>
      <c r="Q136" s="133"/>
    </row>
    <row r="137" spans="1:17" ht="136.5" customHeight="1" x14ac:dyDescent="0.25">
      <c r="A137" s="156">
        <v>67</v>
      </c>
      <c r="B137" s="141" t="s">
        <v>28</v>
      </c>
      <c r="C137" s="141" t="s">
        <v>86</v>
      </c>
      <c r="D137" s="141">
        <v>33.938000000000002</v>
      </c>
      <c r="E137" s="141">
        <v>14.407</v>
      </c>
      <c r="F137" s="63">
        <v>7.29</v>
      </c>
      <c r="G137" s="83" t="s">
        <v>261</v>
      </c>
      <c r="H137" s="25">
        <v>27.277000000000001</v>
      </c>
      <c r="I137" s="134">
        <v>5.12</v>
      </c>
      <c r="J137" s="25">
        <v>47.657704000000003</v>
      </c>
      <c r="K137" s="25">
        <v>2.17</v>
      </c>
      <c r="L137" s="25">
        <f>K137*11.2</f>
        <v>24.303999999999998</v>
      </c>
      <c r="M137" s="20" t="s">
        <v>66</v>
      </c>
      <c r="N137" s="103" t="s">
        <v>66</v>
      </c>
      <c r="O137" s="151" t="s">
        <v>178</v>
      </c>
      <c r="P137" s="34" t="s">
        <v>253</v>
      </c>
      <c r="Q137" s="133"/>
    </row>
    <row r="138" spans="1:17" ht="68.25" customHeight="1" x14ac:dyDescent="0.25">
      <c r="A138" s="156">
        <v>68</v>
      </c>
      <c r="B138" s="141" t="s">
        <v>29</v>
      </c>
      <c r="C138" s="141" t="s">
        <v>86</v>
      </c>
      <c r="D138" s="141"/>
      <c r="E138" s="141">
        <v>17</v>
      </c>
      <c r="F138" s="63">
        <v>17</v>
      </c>
      <c r="G138" s="70">
        <v>1.64</v>
      </c>
      <c r="H138" s="42">
        <v>2.4750000000000001</v>
      </c>
      <c r="I138" s="39">
        <v>5</v>
      </c>
      <c r="J138" s="39">
        <v>21.808060999999999</v>
      </c>
      <c r="K138" s="41">
        <v>6</v>
      </c>
      <c r="L138" s="41">
        <f>K138*14</f>
        <v>84</v>
      </c>
      <c r="M138" s="39">
        <v>6</v>
      </c>
      <c r="N138" s="106">
        <f>M138*3.87</f>
        <v>23.22</v>
      </c>
      <c r="O138" s="151" t="s">
        <v>176</v>
      </c>
      <c r="P138" s="142" t="s">
        <v>132</v>
      </c>
      <c r="Q138" s="133"/>
    </row>
    <row r="139" spans="1:17" ht="54.75" customHeight="1" x14ac:dyDescent="0.25">
      <c r="A139" s="156">
        <v>69</v>
      </c>
      <c r="B139" s="141" t="s">
        <v>30</v>
      </c>
      <c r="C139" s="141" t="s">
        <v>86</v>
      </c>
      <c r="D139" s="141"/>
      <c r="E139" s="141">
        <v>7</v>
      </c>
      <c r="F139" s="63">
        <v>7</v>
      </c>
      <c r="G139" s="70">
        <v>2.09</v>
      </c>
      <c r="H139" s="42">
        <v>2.306</v>
      </c>
      <c r="I139" s="19">
        <v>1</v>
      </c>
      <c r="J139" s="40">
        <f>I139*2.74</f>
        <v>2.74</v>
      </c>
      <c r="K139" s="39">
        <v>4</v>
      </c>
      <c r="L139" s="39">
        <f>K139*3.87</f>
        <v>15.48</v>
      </c>
      <c r="M139" s="39">
        <v>3</v>
      </c>
      <c r="N139" s="106">
        <f>M139*3.87</f>
        <v>11.61</v>
      </c>
      <c r="O139" s="151" t="s">
        <v>177</v>
      </c>
      <c r="P139" s="35" t="s">
        <v>135</v>
      </c>
      <c r="Q139" s="133"/>
    </row>
    <row r="140" spans="1:17" x14ac:dyDescent="0.25">
      <c r="A140" s="156"/>
      <c r="B140" s="3" t="s">
        <v>46</v>
      </c>
      <c r="C140" s="3"/>
      <c r="D140" s="12">
        <f t="shared" ref="D140:N140" si="19">SUM(D137:D139)</f>
        <v>33.938000000000002</v>
      </c>
      <c r="E140" s="12">
        <f t="shared" si="19"/>
        <v>38.406999999999996</v>
      </c>
      <c r="F140" s="64">
        <f t="shared" si="19"/>
        <v>31.29</v>
      </c>
      <c r="G140" s="79">
        <f t="shared" si="19"/>
        <v>3.7299999999999995</v>
      </c>
      <c r="H140" s="12">
        <f t="shared" si="19"/>
        <v>32.058</v>
      </c>
      <c r="I140" s="12">
        <f t="shared" si="19"/>
        <v>11.120000000000001</v>
      </c>
      <c r="J140" s="12">
        <f t="shared" si="19"/>
        <v>72.205765</v>
      </c>
      <c r="K140" s="12">
        <f t="shared" si="19"/>
        <v>12.17</v>
      </c>
      <c r="L140" s="12">
        <f t="shared" si="19"/>
        <v>123.78400000000001</v>
      </c>
      <c r="M140" s="12">
        <f t="shared" si="19"/>
        <v>9</v>
      </c>
      <c r="N140" s="108">
        <f t="shared" si="19"/>
        <v>34.83</v>
      </c>
      <c r="O140" s="151"/>
      <c r="P140" s="152"/>
      <c r="Q140" s="133"/>
    </row>
    <row r="141" spans="1:17" x14ac:dyDescent="0.25">
      <c r="A141" s="156"/>
      <c r="B141" s="3"/>
      <c r="C141" s="3"/>
      <c r="D141" s="3"/>
      <c r="E141" s="3"/>
      <c r="F141" s="67"/>
      <c r="G141" s="80"/>
      <c r="H141" s="11"/>
      <c r="I141" s="11"/>
      <c r="J141" s="11"/>
      <c r="K141" s="11"/>
      <c r="L141" s="11"/>
      <c r="M141" s="44"/>
      <c r="N141" s="113"/>
      <c r="O141" s="151"/>
      <c r="P141" s="152"/>
      <c r="Q141" s="133"/>
    </row>
    <row r="142" spans="1:17" x14ac:dyDescent="0.25">
      <c r="A142" s="156"/>
      <c r="B142" s="3" t="s">
        <v>64</v>
      </c>
      <c r="C142" s="3"/>
      <c r="D142" s="3"/>
      <c r="E142" s="3"/>
      <c r="F142" s="67"/>
      <c r="G142" s="80"/>
      <c r="H142" s="11"/>
      <c r="I142" s="11"/>
      <c r="J142" s="11"/>
      <c r="K142" s="11"/>
      <c r="L142" s="11"/>
      <c r="M142" s="44"/>
      <c r="N142" s="113"/>
      <c r="O142" s="151"/>
      <c r="P142" s="152"/>
      <c r="Q142" s="133"/>
    </row>
    <row r="143" spans="1:17" ht="54" customHeight="1" x14ac:dyDescent="0.25">
      <c r="A143" s="156">
        <v>70</v>
      </c>
      <c r="B143" s="141" t="s">
        <v>34</v>
      </c>
      <c r="C143" s="141" t="s">
        <v>86</v>
      </c>
      <c r="D143" s="141"/>
      <c r="E143" s="141">
        <v>8.5</v>
      </c>
      <c r="F143" s="63">
        <v>8.5</v>
      </c>
      <c r="G143" s="75">
        <v>1.5249999999999999</v>
      </c>
      <c r="H143" s="42">
        <v>2.8262330000000002</v>
      </c>
      <c r="I143" s="19">
        <v>1</v>
      </c>
      <c r="J143" s="40">
        <f>I143*2.74</f>
        <v>2.74</v>
      </c>
      <c r="K143" s="17">
        <v>8.5</v>
      </c>
      <c r="L143" s="39">
        <f>K143*11</f>
        <v>93.5</v>
      </c>
      <c r="M143" s="20" t="s">
        <v>66</v>
      </c>
      <c r="N143" s="103" t="s">
        <v>66</v>
      </c>
      <c r="O143" s="151" t="s">
        <v>167</v>
      </c>
      <c r="P143" s="34" t="s">
        <v>133</v>
      </c>
      <c r="Q143" s="133"/>
    </row>
    <row r="144" spans="1:17" ht="28.5" customHeight="1" x14ac:dyDescent="0.25">
      <c r="A144" s="156">
        <v>71</v>
      </c>
      <c r="B144" s="141" t="s">
        <v>35</v>
      </c>
      <c r="C144" s="141" t="s">
        <v>86</v>
      </c>
      <c r="D144" s="141"/>
      <c r="E144" s="141">
        <v>11.183</v>
      </c>
      <c r="F144" s="63">
        <v>11.183</v>
      </c>
      <c r="G144" s="70">
        <v>2.2999999999999998</v>
      </c>
      <c r="H144" s="42">
        <v>3.9068900000000002</v>
      </c>
      <c r="I144" s="19">
        <v>0.5</v>
      </c>
      <c r="J144" s="40">
        <f>I144*2.74</f>
        <v>1.37</v>
      </c>
      <c r="K144" s="39">
        <v>7.9</v>
      </c>
      <c r="L144" s="39">
        <f>K144*3.87</f>
        <v>30.573000000000004</v>
      </c>
      <c r="M144" s="20" t="s">
        <v>66</v>
      </c>
      <c r="N144" s="103" t="s">
        <v>66</v>
      </c>
      <c r="O144" s="151" t="s">
        <v>162</v>
      </c>
      <c r="P144" s="35" t="s">
        <v>134</v>
      </c>
      <c r="Q144" s="133"/>
    </row>
    <row r="145" spans="1:17" ht="28.5" customHeight="1" x14ac:dyDescent="0.25">
      <c r="A145" s="156">
        <v>72</v>
      </c>
      <c r="B145" s="141" t="s">
        <v>215</v>
      </c>
      <c r="C145" s="141" t="s">
        <v>86</v>
      </c>
      <c r="D145" s="141">
        <v>0.5</v>
      </c>
      <c r="E145" s="141">
        <v>22.5</v>
      </c>
      <c r="F145" s="63">
        <v>11</v>
      </c>
      <c r="G145" s="71" t="s">
        <v>66</v>
      </c>
      <c r="H145" s="20" t="s">
        <v>66</v>
      </c>
      <c r="I145" s="51">
        <v>4</v>
      </c>
      <c r="J145" s="117">
        <v>176.90422000000001</v>
      </c>
      <c r="K145" s="51">
        <f>4.2+3.273</f>
        <v>7.4730000000000008</v>
      </c>
      <c r="L145" s="117">
        <f>147.432+92.557</f>
        <v>239.98899999999998</v>
      </c>
      <c r="M145" s="20" t="s">
        <v>66</v>
      </c>
      <c r="N145" s="103" t="s">
        <v>66</v>
      </c>
      <c r="O145" s="151" t="s">
        <v>214</v>
      </c>
      <c r="P145" s="34" t="s">
        <v>249</v>
      </c>
      <c r="Q145" s="133"/>
    </row>
    <row r="146" spans="1:17" ht="13.5" customHeight="1" x14ac:dyDescent="0.25">
      <c r="A146" s="143"/>
      <c r="B146" s="3" t="s">
        <v>46</v>
      </c>
      <c r="C146" s="3"/>
      <c r="D146" s="13">
        <f>SUM(D143:D145)</f>
        <v>0.5</v>
      </c>
      <c r="E146" s="13">
        <f t="shared" ref="E146:N146" si="20">SUM(E143:E145)</f>
        <v>42.183</v>
      </c>
      <c r="F146" s="68">
        <f t="shared" si="20"/>
        <v>30.683</v>
      </c>
      <c r="G146" s="82">
        <f t="shared" si="20"/>
        <v>3.8249999999999997</v>
      </c>
      <c r="H146" s="13">
        <f t="shared" si="20"/>
        <v>6.7331230000000009</v>
      </c>
      <c r="I146" s="13">
        <f t="shared" si="20"/>
        <v>5.5</v>
      </c>
      <c r="J146" s="13">
        <f t="shared" si="20"/>
        <v>181.01422000000002</v>
      </c>
      <c r="K146" s="13">
        <f t="shared" si="20"/>
        <v>23.872999999999998</v>
      </c>
      <c r="L146" s="13">
        <f t="shared" si="20"/>
        <v>364.06200000000001</v>
      </c>
      <c r="M146" s="13">
        <f t="shared" si="20"/>
        <v>0</v>
      </c>
      <c r="N146" s="114">
        <f t="shared" si="20"/>
        <v>0</v>
      </c>
      <c r="O146" s="166"/>
      <c r="P146" s="44"/>
      <c r="Q146" s="133"/>
    </row>
    <row r="147" spans="1:17" ht="13.5" customHeight="1" x14ac:dyDescent="0.25">
      <c r="A147" s="143"/>
      <c r="B147" s="3"/>
      <c r="C147" s="3"/>
      <c r="D147" s="3"/>
      <c r="E147" s="3"/>
      <c r="F147" s="67"/>
      <c r="G147" s="80"/>
      <c r="H147" s="11"/>
      <c r="I147" s="11"/>
      <c r="J147" s="11"/>
      <c r="K147" s="11"/>
      <c r="L147" s="11"/>
      <c r="M147" s="44"/>
      <c r="N147" s="113"/>
      <c r="O147" s="166"/>
      <c r="P147" s="44"/>
      <c r="Q147" s="133"/>
    </row>
    <row r="148" spans="1:17" ht="13.5" customHeight="1" x14ac:dyDescent="0.25">
      <c r="A148" s="143"/>
      <c r="B148" s="3"/>
      <c r="C148" s="3"/>
      <c r="D148" s="3"/>
      <c r="E148" s="3"/>
      <c r="F148" s="67"/>
      <c r="G148" s="80"/>
      <c r="H148" s="11"/>
      <c r="I148" s="11"/>
      <c r="J148" s="11"/>
      <c r="K148" s="11"/>
      <c r="L148" s="11"/>
      <c r="M148" s="11"/>
      <c r="N148" s="110"/>
      <c r="O148" s="166"/>
      <c r="P148" s="166"/>
      <c r="Q148" s="133"/>
    </row>
    <row r="149" spans="1:17" ht="13.5" customHeight="1" x14ac:dyDescent="0.25">
      <c r="A149" s="167"/>
      <c r="B149" s="3" t="s">
        <v>78</v>
      </c>
      <c r="C149" s="3">
        <v>82</v>
      </c>
      <c r="D149" s="12">
        <f t="shared" ref="D149:N149" si="21">SUM(D19,D28,D37,D44,D48,D55,D65,D69,D78,D89,D94,D98,D110,D102,D117,D125,D134,D140,D146)</f>
        <v>284.48199999999997</v>
      </c>
      <c r="E149" s="12">
        <f t="shared" si="21"/>
        <v>790.971</v>
      </c>
      <c r="F149" s="64">
        <f t="shared" si="21"/>
        <v>582.31499999999994</v>
      </c>
      <c r="G149" s="79">
        <f t="shared" si="21"/>
        <v>106.423</v>
      </c>
      <c r="H149" s="12">
        <f t="shared" si="21"/>
        <v>467.68702599999995</v>
      </c>
      <c r="I149" s="12">
        <f t="shared" si="21"/>
        <v>179.01400000000004</v>
      </c>
      <c r="J149" s="12">
        <f t="shared" si="21"/>
        <v>1493.6320570000003</v>
      </c>
      <c r="K149" s="12">
        <f t="shared" si="21"/>
        <v>246.04999999999995</v>
      </c>
      <c r="L149" s="12">
        <f>SUM(L19,L28,L37,L44,L48,L55,L65,L69,L78,L89,L94,L98,L110,L102,L117,L125,L134,L140,L146)</f>
        <v>2745.2201300000002</v>
      </c>
      <c r="M149" s="12">
        <f t="shared" si="21"/>
        <v>87.4</v>
      </c>
      <c r="N149" s="108">
        <f t="shared" si="21"/>
        <v>683.64700000000016</v>
      </c>
      <c r="O149" s="166"/>
      <c r="P149" s="44" t="s">
        <v>202</v>
      </c>
      <c r="Q149" s="133"/>
    </row>
    <row r="150" spans="1:17" ht="13.5" customHeight="1" x14ac:dyDescent="0.25">
      <c r="A150" s="8"/>
      <c r="B150" s="37" t="s">
        <v>86</v>
      </c>
      <c r="C150" s="29">
        <v>74</v>
      </c>
      <c r="D150" s="30">
        <f>SUM(D16,D17,D18,D22,D24,D25,D26,D27,D31,D32,D33,D34,D35,D36,D40,D41,D42,D47,D51,D52,D53,D54,D58,D60,D61,D62,D63,D64,D72,D74,D75,D77,D84,D85,D86,D87,D88,D92,D93,D97,D101,D109,D113,D114,D115,D116,D120,D121,D122,D123,D124,D128,D130,D131,D132,D133,D137,D138,D139,D143,D144,D145)</f>
        <v>275.33100000000002</v>
      </c>
      <c r="E150" s="30">
        <f t="shared" ref="E150:N150" si="22">SUM(E16,E17,E18,E22,E24,E25,E26,E27,E31,E32,E33,E34,E35,E36,E40,E41,E42,E47,E51,E52,E53,E54,E58,E60,E61,E62,E63,E64,E72,E74,E75,E77,E84,E85,E86,E87,E88,E92,E93,E97,E101,E109,E113,E114,E115,E116,E120,E121,E122,E123,E124,E128,E130,E131,E132,E133,E137,E138,E139,E143,E144,E145)</f>
        <v>744.46299999999997</v>
      </c>
      <c r="F150" s="101">
        <f t="shared" si="22"/>
        <v>541.5619999999999</v>
      </c>
      <c r="G150" s="118">
        <f t="shared" si="22"/>
        <v>95.773000000000025</v>
      </c>
      <c r="H150" s="30">
        <f t="shared" si="22"/>
        <v>433.35410799999994</v>
      </c>
      <c r="I150" s="30">
        <f>SUM(I16,I17,I18,I22,I24,I25,I26,I27,I31,I32,I33,I34,I35,I36,I40,I41,I42,I47,I51,I52,I53,I54,I58,I60,I61,I62,I63,I64,I72,I74,I75,I77,I84,I85,I86,I87,I88,I92,I93,I97,I101,I109,I113,I114,I115,I116,I120,I121,I122,I123,I124,I128,I130,I131,I132,I133,I137,I138,I139,I143,I144,I145)</f>
        <v>169.41400000000002</v>
      </c>
      <c r="J150" s="30">
        <f t="shared" si="22"/>
        <v>1378.7172859999996</v>
      </c>
      <c r="K150" s="30">
        <f t="shared" si="22"/>
        <v>221.22</v>
      </c>
      <c r="L150" s="30">
        <f t="shared" si="22"/>
        <v>2347.4931299999998</v>
      </c>
      <c r="M150" s="30">
        <f t="shared" si="22"/>
        <v>87.4</v>
      </c>
      <c r="N150" s="119">
        <f t="shared" si="22"/>
        <v>683.64700000000005</v>
      </c>
      <c r="O150" s="28"/>
      <c r="P150" s="28"/>
      <c r="Q150" s="133"/>
    </row>
    <row r="151" spans="1:17" ht="13.5" customHeight="1" thickBot="1" x14ac:dyDescent="0.3">
      <c r="A151" s="8"/>
      <c r="B151" s="37" t="s">
        <v>87</v>
      </c>
      <c r="C151" s="29">
        <v>8</v>
      </c>
      <c r="D151" s="30">
        <f>SUM(D23,D59,D68,D76,D81,D82,D83,D129)</f>
        <v>0</v>
      </c>
      <c r="E151" s="30">
        <f t="shared" ref="E151:N151" si="23">SUM(E23,E59,E68,E76,E81,E82,E83,E129)</f>
        <v>39.705000000000005</v>
      </c>
      <c r="F151" s="101">
        <f t="shared" si="23"/>
        <v>33.950000000000003</v>
      </c>
      <c r="G151" s="120">
        <f t="shared" si="23"/>
        <v>10.65</v>
      </c>
      <c r="H151" s="121">
        <f t="shared" si="23"/>
        <v>32.952917999999997</v>
      </c>
      <c r="I151" s="121">
        <f t="shared" si="23"/>
        <v>6.4</v>
      </c>
      <c r="J151" s="121">
        <f t="shared" si="23"/>
        <v>19.207061000000003</v>
      </c>
      <c r="K151" s="121">
        <f t="shared" si="23"/>
        <v>21.1</v>
      </c>
      <c r="L151" s="121">
        <f t="shared" si="23"/>
        <v>280.20500000000004</v>
      </c>
      <c r="M151" s="121">
        <f t="shared" si="23"/>
        <v>0</v>
      </c>
      <c r="N151" s="122">
        <f t="shared" si="23"/>
        <v>0</v>
      </c>
      <c r="O151" s="28"/>
      <c r="P151" s="28"/>
      <c r="Q151" s="133"/>
    </row>
    <row r="152" spans="1:17" x14ac:dyDescent="0.25">
      <c r="A152" s="22"/>
      <c r="B152" s="22"/>
      <c r="C152" s="22"/>
      <c r="D152" s="22"/>
      <c r="E152" s="22"/>
      <c r="F152" s="22"/>
      <c r="G152" s="24"/>
      <c r="H152" s="23"/>
      <c r="I152" s="23"/>
      <c r="J152" s="23"/>
      <c r="K152" s="23"/>
      <c r="L152" s="23"/>
      <c r="M152" s="46"/>
      <c r="N152" s="46"/>
      <c r="O152" s="23"/>
      <c r="Q152" s="133"/>
    </row>
    <row r="153" spans="1:17" x14ac:dyDescent="0.25">
      <c r="A153" s="22"/>
      <c r="B153" s="22"/>
      <c r="C153" s="22"/>
      <c r="D153" s="22"/>
      <c r="E153" s="22"/>
      <c r="F153" s="22"/>
      <c r="G153" s="24"/>
      <c r="H153" s="23"/>
      <c r="I153" s="23"/>
      <c r="J153" s="23"/>
      <c r="K153" s="23"/>
      <c r="L153" s="23"/>
      <c r="M153" s="46"/>
      <c r="N153" s="46"/>
      <c r="O153" s="23"/>
      <c r="Q153" s="133"/>
    </row>
    <row r="154" spans="1:17" x14ac:dyDescent="0.25">
      <c r="A154" s="22"/>
      <c r="B154" s="22"/>
      <c r="C154" s="22"/>
      <c r="D154" s="22"/>
      <c r="E154" s="22"/>
      <c r="F154" s="22"/>
      <c r="G154" s="24"/>
      <c r="H154" s="23"/>
      <c r="I154" s="23"/>
      <c r="J154" s="23"/>
      <c r="K154" s="23"/>
      <c r="L154" s="23"/>
      <c r="M154" s="46"/>
      <c r="N154" s="46"/>
      <c r="O154" s="23"/>
      <c r="Q154" s="133"/>
    </row>
    <row r="155" spans="1:17" hidden="1" x14ac:dyDescent="0.25">
      <c r="A155" s="22"/>
      <c r="B155" s="22"/>
      <c r="C155" s="22"/>
      <c r="D155" s="22"/>
      <c r="E155" s="22"/>
      <c r="F155" s="22"/>
      <c r="G155" s="24"/>
      <c r="H155" s="23"/>
      <c r="I155" s="23"/>
      <c r="J155" s="23"/>
      <c r="K155" s="23"/>
      <c r="L155" s="23"/>
      <c r="M155" s="46"/>
      <c r="N155" s="46"/>
      <c r="O155" s="23"/>
      <c r="Q155" s="133"/>
    </row>
    <row r="156" spans="1:17" ht="12.75" hidden="1" customHeight="1" x14ac:dyDescent="0.25">
      <c r="B156" s="22"/>
      <c r="C156" s="22"/>
      <c r="D156" s="22"/>
      <c r="E156" s="22"/>
      <c r="F156" s="124" t="s">
        <v>95</v>
      </c>
      <c r="G156" s="193">
        <v>2018</v>
      </c>
      <c r="H156" s="207"/>
      <c r="I156" s="193">
        <v>2019</v>
      </c>
      <c r="J156" s="194"/>
      <c r="K156" s="193">
        <v>2020</v>
      </c>
      <c r="L156" s="194"/>
      <c r="M156" s="193">
        <v>2021</v>
      </c>
      <c r="N156" s="194"/>
      <c r="O156" s="128" t="s">
        <v>78</v>
      </c>
      <c r="Q156" s="133"/>
    </row>
    <row r="157" spans="1:17" ht="12.75" hidden="1" customHeight="1" x14ac:dyDescent="0.25">
      <c r="B157" s="22"/>
      <c r="F157" s="125" t="s">
        <v>93</v>
      </c>
      <c r="G157" s="206">
        <v>467.7</v>
      </c>
      <c r="H157" s="207"/>
      <c r="I157" s="195">
        <v>1493.6</v>
      </c>
      <c r="J157" s="196"/>
      <c r="K157" s="195">
        <v>2506.6</v>
      </c>
      <c r="L157" s="196"/>
      <c r="M157" s="195">
        <v>851.2</v>
      </c>
      <c r="N157" s="196"/>
      <c r="O157" s="129">
        <f>SUM(G157:N157)</f>
        <v>5319.0999999999995</v>
      </c>
      <c r="Q157" s="133"/>
    </row>
    <row r="158" spans="1:17" ht="12.75" hidden="1" customHeight="1" x14ac:dyDescent="0.25">
      <c r="B158" s="22"/>
      <c r="F158" s="47" t="s">
        <v>221</v>
      </c>
      <c r="G158" s="180">
        <f>SUM(H16,H26)</f>
        <v>154.67699999999999</v>
      </c>
      <c r="H158" s="181"/>
      <c r="I158" s="176">
        <f>SUM(J87,J93,J132)</f>
        <v>230.931884</v>
      </c>
      <c r="J158" s="176"/>
      <c r="K158" s="176">
        <f>SUM(L22,L54,L59,L75,L76,L81,L97,L120,L128,L132,L138,L143)</f>
        <v>1253.4870000000001</v>
      </c>
      <c r="L158" s="176"/>
      <c r="M158" s="176"/>
      <c r="N158" s="176"/>
      <c r="O158" s="36">
        <f>SUM(G158:N158)</f>
        <v>1639.0958840000001</v>
      </c>
      <c r="Q158" s="133"/>
    </row>
    <row r="159" spans="1:17" ht="12.75" hidden="1" customHeight="1" x14ac:dyDescent="0.25">
      <c r="B159" s="126"/>
      <c r="F159" s="7" t="s">
        <v>222</v>
      </c>
      <c r="G159" s="197" t="s">
        <v>66</v>
      </c>
      <c r="H159" s="198"/>
      <c r="I159" s="176">
        <f>SUM(J40,J43,J58, J145)</f>
        <v>488.11123000000003</v>
      </c>
      <c r="J159" s="177"/>
      <c r="K159" s="176">
        <f>SUM(L40,L43,L58,L92,L131)</f>
        <v>575.48199999999997</v>
      </c>
      <c r="L159" s="177"/>
      <c r="M159" s="176">
        <f>SUM(N40, N145)</f>
        <v>252</v>
      </c>
      <c r="N159" s="177"/>
      <c r="O159" s="36">
        <f>SUM(G159:N159)</f>
        <v>1315.5932299999999</v>
      </c>
      <c r="Q159" s="133"/>
    </row>
    <row r="160" spans="1:17" ht="12.75" hidden="1" customHeight="1" x14ac:dyDescent="0.25">
      <c r="A160" s="22"/>
      <c r="B160" s="22"/>
      <c r="F160" s="7" t="s">
        <v>223</v>
      </c>
      <c r="G160" s="180">
        <f>SUM(H23,H27,H31:H32,H68,H53,H59,H73, H74,H76,H81,H82,H83,H113,H129,H123,H130)</f>
        <v>182.73791799999998</v>
      </c>
      <c r="H160" s="181"/>
      <c r="I160" s="176">
        <f>SUM(J17,J24:J27,J31:J33,J52,J61,J68,J74,J82:J83,J109,J113,J121:J122,J129:J130,J138)</f>
        <v>446.37715999999995</v>
      </c>
      <c r="J160" s="177"/>
      <c r="K160" s="176">
        <f>SUM(L18,L24,L25,L31,L34,L47,L51,L52,L62,L68,L74,L82,L83,L84,L85,L86,L109,L113,L114,L115,L121,L139,L144)</f>
        <v>501.33412999999996</v>
      </c>
      <c r="L160" s="177"/>
      <c r="M160" s="176">
        <f>SUM(N25,N31,N36,N42,N64,N74,N77,N88,N109,N113,N116,N121,N122,N133,N138,N139)</f>
        <v>371.93700000000001</v>
      </c>
      <c r="N160" s="177"/>
      <c r="O160" s="36">
        <f t="shared" ref="O160:O163" si="24">SUM(G160:N160)</f>
        <v>1502.3862079999999</v>
      </c>
      <c r="Q160" s="133"/>
    </row>
    <row r="161" spans="1:17" ht="12.75" hidden="1" customHeight="1" x14ac:dyDescent="0.25">
      <c r="A161" s="22"/>
      <c r="B161" s="22"/>
      <c r="F161" s="47" t="s">
        <v>94</v>
      </c>
      <c r="G161" s="180">
        <f>SUM(H17:H18,H22,H24:H25,H33:H35,H40:H41,H47,H51:H52,H54,H58,H60:H63,H72,H75,H84:H87,H92:H93,H97,H101,H109,H114:H115,H120,H121:H122,H124,H128,H131:H132,H138:H139,H143:H144)</f>
        <v>102.99510799999996</v>
      </c>
      <c r="H161" s="181"/>
      <c r="I161" s="176">
        <f>SUM(J18:J18,J22,J34,J36,J42,J47,J51,J54,J59,J62:J63,J75:J77,J81,J84:J86,J88,J92,J97,J114:J115,J116,J120,J128,J131,J133,J139,J143:J144)</f>
        <v>60.143000000000001</v>
      </c>
      <c r="J161" s="177"/>
      <c r="K161" s="176">
        <f>SUM(L36,L42,L77,L88,L116,L133,L145)</f>
        <v>247.11299999999997</v>
      </c>
      <c r="L161" s="177"/>
      <c r="M161" s="176"/>
      <c r="N161" s="177"/>
      <c r="O161" s="36">
        <f t="shared" si="24"/>
        <v>410.25110799999993</v>
      </c>
      <c r="Q161" s="133"/>
    </row>
    <row r="162" spans="1:17" ht="12.75" hidden="1" customHeight="1" x14ac:dyDescent="0.25">
      <c r="A162" s="22"/>
      <c r="B162" s="22"/>
      <c r="C162" s="22"/>
      <c r="D162" s="22"/>
      <c r="E162" s="22"/>
      <c r="F162" s="7" t="s">
        <v>96</v>
      </c>
      <c r="G162" s="180">
        <v>67</v>
      </c>
      <c r="H162" s="181"/>
      <c r="I162" s="176" t="s">
        <v>66</v>
      </c>
      <c r="J162" s="177"/>
      <c r="K162" s="177" t="s">
        <v>66</v>
      </c>
      <c r="L162" s="177"/>
      <c r="M162" s="177" t="s">
        <v>66</v>
      </c>
      <c r="N162" s="177"/>
      <c r="O162" s="36">
        <f t="shared" si="24"/>
        <v>67</v>
      </c>
      <c r="Q162" s="133"/>
    </row>
    <row r="163" spans="1:17" hidden="1" x14ac:dyDescent="0.25">
      <c r="A163" s="22"/>
      <c r="B163" s="22"/>
      <c r="C163" s="22"/>
      <c r="D163" s="22"/>
      <c r="E163" s="22"/>
      <c r="F163" s="7" t="s">
        <v>228</v>
      </c>
      <c r="G163" s="180">
        <f>SUM(H137)</f>
        <v>27.277000000000001</v>
      </c>
      <c r="H163" s="181"/>
      <c r="I163" s="176">
        <f>SUM(J41,J72,J101,J137)</f>
        <v>268.068783</v>
      </c>
      <c r="J163" s="176"/>
      <c r="K163" s="176">
        <f>SUM(L41,L72,L101,L137)</f>
        <v>167.804</v>
      </c>
      <c r="L163" s="176"/>
      <c r="M163" s="176">
        <f>SUM(N131,N72)</f>
        <v>59.709999999999994</v>
      </c>
      <c r="N163" s="176"/>
      <c r="O163" s="36">
        <f t="shared" si="24"/>
        <v>522.85978299999999</v>
      </c>
      <c r="Q163" s="133"/>
    </row>
    <row r="164" spans="1:17" hidden="1" x14ac:dyDescent="0.25">
      <c r="A164" s="22"/>
      <c r="B164" s="22"/>
      <c r="C164" s="22"/>
      <c r="D164" s="22"/>
      <c r="E164" s="22"/>
      <c r="F164" s="98" t="s">
        <v>250</v>
      </c>
      <c r="G164" s="189"/>
      <c r="H164" s="190"/>
      <c r="I164" s="189">
        <f>I157-I165-I161</f>
        <v>1292.5885507599999</v>
      </c>
      <c r="J164" s="190"/>
      <c r="K164" s="189">
        <f>K157-K165-K161</f>
        <v>1632.7434999999998</v>
      </c>
      <c r="L164" s="190"/>
      <c r="M164" s="189">
        <f>M157-M165-M161</f>
        <v>851.2</v>
      </c>
      <c r="N164" s="190"/>
      <c r="O164" s="127">
        <f>SUM(G164:N164)</f>
        <v>3776.5320507599999</v>
      </c>
      <c r="Q164" s="133"/>
    </row>
    <row r="165" spans="1:17" hidden="1" x14ac:dyDescent="0.25">
      <c r="D165" s="10"/>
      <c r="F165" s="99" t="s">
        <v>251</v>
      </c>
      <c r="G165" s="191"/>
      <c r="H165" s="192"/>
      <c r="I165" s="191">
        <f>(J87+J93+J132)*0.61</f>
        <v>140.86844923999999</v>
      </c>
      <c r="J165" s="192"/>
      <c r="K165" s="191">
        <f>K158/2</f>
        <v>626.74350000000004</v>
      </c>
      <c r="L165" s="192"/>
      <c r="M165" s="191">
        <f>M158/2</f>
        <v>0</v>
      </c>
      <c r="N165" s="192"/>
      <c r="O165" s="127">
        <f>SUM(G165:N165)</f>
        <v>767.61194924000006</v>
      </c>
      <c r="Q165" s="133"/>
    </row>
    <row r="166" spans="1:17" ht="15" hidden="1" customHeight="1" x14ac:dyDescent="0.25">
      <c r="D166" s="10"/>
      <c r="F166" s="123" t="s">
        <v>252</v>
      </c>
      <c r="G166" s="182">
        <v>16</v>
      </c>
      <c r="H166" s="183"/>
      <c r="I166" s="182">
        <v>29</v>
      </c>
      <c r="J166" s="183"/>
      <c r="K166" s="182">
        <v>44</v>
      </c>
      <c r="L166" s="183"/>
      <c r="M166" s="182">
        <v>20</v>
      </c>
      <c r="N166" s="183"/>
      <c r="O166" s="140"/>
      <c r="Q166" s="133"/>
    </row>
    <row r="167" spans="1:17" hidden="1" x14ac:dyDescent="0.25">
      <c r="F167" s="47" t="s">
        <v>255</v>
      </c>
      <c r="G167" s="172">
        <v>2</v>
      </c>
      <c r="H167" s="173"/>
      <c r="I167" s="172">
        <v>3</v>
      </c>
      <c r="J167" s="173"/>
      <c r="K167" s="172">
        <v>12</v>
      </c>
      <c r="L167" s="173"/>
      <c r="M167" s="172"/>
      <c r="N167" s="173"/>
      <c r="O167" s="100"/>
      <c r="Q167" s="133"/>
    </row>
    <row r="168" spans="1:17" hidden="1" x14ac:dyDescent="0.25">
      <c r="F168" s="7" t="s">
        <v>222</v>
      </c>
      <c r="G168" s="172">
        <v>0</v>
      </c>
      <c r="H168" s="173"/>
      <c r="I168" s="172">
        <v>4</v>
      </c>
      <c r="J168" s="173"/>
      <c r="K168" s="172">
        <v>5</v>
      </c>
      <c r="L168" s="173"/>
      <c r="M168" s="172">
        <v>2</v>
      </c>
      <c r="N168" s="173"/>
      <c r="O168" s="100"/>
      <c r="Q168" s="133"/>
    </row>
    <row r="169" spans="1:17" hidden="1" x14ac:dyDescent="0.25">
      <c r="F169" s="7" t="s">
        <v>223</v>
      </c>
      <c r="G169" s="172">
        <v>14</v>
      </c>
      <c r="H169" s="173"/>
      <c r="I169" s="172">
        <v>19</v>
      </c>
      <c r="J169" s="173"/>
      <c r="K169" s="172">
        <v>23</v>
      </c>
      <c r="L169" s="173"/>
      <c r="M169" s="172">
        <v>16</v>
      </c>
      <c r="N169" s="173"/>
      <c r="O169" s="100"/>
      <c r="Q169" s="133"/>
    </row>
    <row r="170" spans="1:17" hidden="1" x14ac:dyDescent="0.25">
      <c r="F170" s="7" t="s">
        <v>228</v>
      </c>
      <c r="G170" s="172">
        <v>0</v>
      </c>
      <c r="H170" s="173"/>
      <c r="I170" s="172">
        <v>4</v>
      </c>
      <c r="J170" s="173"/>
      <c r="K170" s="172">
        <v>4</v>
      </c>
      <c r="L170" s="173"/>
      <c r="M170" s="172">
        <v>2</v>
      </c>
      <c r="N170" s="173"/>
      <c r="O170" s="100"/>
      <c r="Q170" s="133"/>
    </row>
    <row r="171" spans="1:17" hidden="1" x14ac:dyDescent="0.25">
      <c r="F171" s="130" t="s">
        <v>94</v>
      </c>
      <c r="G171" s="174">
        <v>43</v>
      </c>
      <c r="H171" s="175"/>
      <c r="I171" s="174">
        <v>31</v>
      </c>
      <c r="J171" s="175"/>
      <c r="K171" s="174">
        <v>7</v>
      </c>
      <c r="L171" s="175"/>
      <c r="M171" s="174"/>
      <c r="N171" s="175"/>
      <c r="O171" s="100"/>
      <c r="Q171" s="133"/>
    </row>
    <row r="172" spans="1:17" ht="15" hidden="1" customHeight="1" x14ac:dyDescent="0.25">
      <c r="F172" s="123" t="s">
        <v>254</v>
      </c>
      <c r="G172" s="178">
        <f>SUM(G16,G23,G26,G31,G32,G53,G68,G74,G76,G81,G82,G83,G113,G123,G129,G130)</f>
        <v>55.866999999999997</v>
      </c>
      <c r="H172" s="179"/>
      <c r="I172" s="178">
        <f>SUM(I17,I24,I25,I27,I31,I32,I33,I40,I41,I43,I52,I58,I61,I68,I72,I74,I82,I83,I87,I93,I101,I109,I113,I121,I129,I130,I132,I137,I138)</f>
        <v>153.06400000000002</v>
      </c>
      <c r="J172" s="179"/>
      <c r="K172" s="178">
        <f>SUM(K18,K22,K24,K25,K31,K34,K40,K41,K43,K47,K51,K52,K54,K58,K59,K62,K68,K72,K74,K75,K76,K81,K82,K83,K84,K85,K86,K92,K97,K101,K109,K113,K114,K115,K120,K121,K128,K131,K132,K137,K138,K139,K143,K144)</f>
        <v>235.97699999999998</v>
      </c>
      <c r="L172" s="179"/>
      <c r="M172" s="178">
        <f>SUM(M25,M31,M36,M40,M42,M64,M72,M74,M77,M88,M109,M113,M116,M121,M122,M131,M133,M138,M139,M145)</f>
        <v>87.4</v>
      </c>
      <c r="N172" s="179"/>
      <c r="O172" s="140"/>
      <c r="Q172" s="133"/>
    </row>
    <row r="173" spans="1:17" hidden="1" x14ac:dyDescent="0.25">
      <c r="F173" s="47" t="s">
        <v>255</v>
      </c>
      <c r="G173" s="168">
        <f>SUM(G16,G26)</f>
        <v>10.617000000000001</v>
      </c>
      <c r="H173" s="169"/>
      <c r="I173" s="168">
        <f>SUM(I87,I93,I132)</f>
        <v>17.631</v>
      </c>
      <c r="J173" s="169"/>
      <c r="K173" s="168">
        <f>SUM(K22,K54,K59,K75,K76,K81,K97,K120,K128,K132,K138,K143)</f>
        <v>77.198000000000008</v>
      </c>
      <c r="L173" s="169"/>
      <c r="M173" s="168"/>
      <c r="N173" s="169"/>
      <c r="O173" s="100"/>
      <c r="Q173" s="133"/>
    </row>
    <row r="174" spans="1:17" hidden="1" x14ac:dyDescent="0.25">
      <c r="F174" s="7" t="s">
        <v>222</v>
      </c>
      <c r="G174" s="168"/>
      <c r="H174" s="169"/>
      <c r="I174" s="168">
        <f>SUM(I40,I43,I58, I145)</f>
        <v>14.35</v>
      </c>
      <c r="J174" s="169"/>
      <c r="K174" s="168">
        <f>SUM(K40,K43,K58,K92,K131)</f>
        <v>16.350000000000001</v>
      </c>
      <c r="L174" s="169"/>
      <c r="M174" s="168">
        <f>SUM(M40,M145)</f>
        <v>7</v>
      </c>
      <c r="N174" s="169"/>
      <c r="O174" s="100"/>
      <c r="Q174" s="133"/>
    </row>
    <row r="175" spans="1:17" hidden="1" x14ac:dyDescent="0.25">
      <c r="F175" s="7" t="s">
        <v>223</v>
      </c>
      <c r="G175" s="168">
        <f>SUM(G23,G31,G32,G53,G68,G74,G76,G81,G82,G83,G113,G123,G129,G130)</f>
        <v>45.249999999999993</v>
      </c>
      <c r="H175" s="169"/>
      <c r="I175" s="168">
        <f>SUM(I17,I24,I25,I27,I31,I32,I33,I52,I61,I68,I74,I82,I83,I109,I113,I121,I129,I130,I138)</f>
        <v>95.863000000000014</v>
      </c>
      <c r="J175" s="169"/>
      <c r="K175" s="168">
        <f>SUM(K18,K24,K25,K31,K34,K47,K51,K52,K62,K68,K74,K82,K83,K84,K85,K86,K109,K113,K114,K115,K121,K139,K144)</f>
        <v>120.15900000000001</v>
      </c>
      <c r="L175" s="169"/>
      <c r="M175" s="168">
        <f>SUM(M25,M31,M36,M42,M64,M74,M77,M88,M109,M113,M116,M121,M122,M133,M138,M139)</f>
        <v>72.7</v>
      </c>
      <c r="N175" s="169"/>
      <c r="O175" s="100"/>
      <c r="P175" s="10"/>
      <c r="Q175" s="133"/>
    </row>
    <row r="176" spans="1:17" hidden="1" x14ac:dyDescent="0.25">
      <c r="F176" s="7" t="s">
        <v>228</v>
      </c>
      <c r="G176" s="168"/>
      <c r="H176" s="169"/>
      <c r="I176" s="168">
        <f>SUM(I41,I72,I101,I137)</f>
        <v>29.220000000000002</v>
      </c>
      <c r="J176" s="169"/>
      <c r="K176" s="168">
        <f>SUM(K41,K72,K101,K137)</f>
        <v>22.270000000000003</v>
      </c>
      <c r="L176" s="169"/>
      <c r="M176" s="168">
        <f>SUM(M72,M131)</f>
        <v>7.7</v>
      </c>
      <c r="N176" s="169"/>
      <c r="O176" s="100"/>
      <c r="P176" s="10"/>
      <c r="Q176" s="133"/>
    </row>
    <row r="177" spans="6:15" hidden="1" x14ac:dyDescent="0.25">
      <c r="F177" s="130" t="s">
        <v>94</v>
      </c>
      <c r="G177" s="170">
        <f>SUM(G17,G18,G22,G24,G25,G33,G34,G35,G40,G41,G47,G51,G54,G52,G58,G60,G61,G62,G63,G72,G75,G84,G85,G86,G87,G92,G93,G97,G101,G109,G114,G115,G120,G121,G122,G124,G128,G131,G132,G138,G139,G143,G144)</f>
        <v>49.55599999999999</v>
      </c>
      <c r="H177" s="171"/>
      <c r="I177" s="170">
        <f>SUM(I18,I22,I34,I36,I42,I47,I51,I54,I59,I62,I63,I75,I76,I77,I81,I84,I85,I86,I88,I92,I97,I114,I115,I116,I120,I128,I131,I133,I139,I143,I144)</f>
        <v>21.95</v>
      </c>
      <c r="J177" s="171"/>
      <c r="K177" s="170">
        <f>SUM(K36,K42,K77,K88,K116,K133,K145)</f>
        <v>10.073</v>
      </c>
      <c r="L177" s="171"/>
      <c r="M177" s="170"/>
      <c r="N177" s="171"/>
      <c r="O177" s="100"/>
    </row>
    <row r="178" spans="6:15" hidden="1" x14ac:dyDescent="0.25"/>
    <row r="180" spans="6:15" x14ac:dyDescent="0.25">
      <c r="N180" s="10"/>
    </row>
  </sheetData>
  <mergeCells count="125">
    <mergeCell ref="G161:H161"/>
    <mergeCell ref="O72:O73"/>
    <mergeCell ref="P72:P73"/>
    <mergeCell ref="P11:P13"/>
    <mergeCell ref="M72:M73"/>
    <mergeCell ref="A2:O2"/>
    <mergeCell ref="B11:B13"/>
    <mergeCell ref="A11:A13"/>
    <mergeCell ref="C11:C13"/>
    <mergeCell ref="F11:F13"/>
    <mergeCell ref="L12:L13"/>
    <mergeCell ref="I12:I13"/>
    <mergeCell ref="M11:N11"/>
    <mergeCell ref="M12:M13"/>
    <mergeCell ref="N12:N13"/>
    <mergeCell ref="D11:E11"/>
    <mergeCell ref="D12:D13"/>
    <mergeCell ref="E12:E13"/>
    <mergeCell ref="O11:O13"/>
    <mergeCell ref="I11:J11"/>
    <mergeCell ref="K11:L11"/>
    <mergeCell ref="O9:P9"/>
    <mergeCell ref="B72:B73"/>
    <mergeCell ref="A72:A73"/>
    <mergeCell ref="C72:C73"/>
    <mergeCell ref="D72:D73"/>
    <mergeCell ref="E72:E73"/>
    <mergeCell ref="F72:F73"/>
    <mergeCell ref="H12:H13"/>
    <mergeCell ref="K12:K13"/>
    <mergeCell ref="G157:H157"/>
    <mergeCell ref="J12:J13"/>
    <mergeCell ref="I156:J156"/>
    <mergeCell ref="K156:L156"/>
    <mergeCell ref="I157:J157"/>
    <mergeCell ref="K157:L157"/>
    <mergeCell ref="G156:H156"/>
    <mergeCell ref="I72:I73"/>
    <mergeCell ref="J72:J73"/>
    <mergeCell ref="K72:K73"/>
    <mergeCell ref="L72:L73"/>
    <mergeCell ref="N72:N73"/>
    <mergeCell ref="G11:H11"/>
    <mergeCell ref="G12:G13"/>
    <mergeCell ref="M164:N164"/>
    <mergeCell ref="M165:N165"/>
    <mergeCell ref="M163:N163"/>
    <mergeCell ref="M156:N156"/>
    <mergeCell ref="M157:N157"/>
    <mergeCell ref="M158:N158"/>
    <mergeCell ref="M159:N159"/>
    <mergeCell ref="M160:N160"/>
    <mergeCell ref="G164:H164"/>
    <mergeCell ref="G165:H165"/>
    <mergeCell ref="I164:J164"/>
    <mergeCell ref="I165:J165"/>
    <mergeCell ref="K164:L164"/>
    <mergeCell ref="K165:L165"/>
    <mergeCell ref="M161:N161"/>
    <mergeCell ref="M162:N162"/>
    <mergeCell ref="G158:H158"/>
    <mergeCell ref="G159:H159"/>
    <mergeCell ref="I159:J159"/>
    <mergeCell ref="K159:L159"/>
    <mergeCell ref="I158:J158"/>
    <mergeCell ref="K158:L158"/>
    <mergeCell ref="I160:J160"/>
    <mergeCell ref="K160:L160"/>
    <mergeCell ref="G172:H172"/>
    <mergeCell ref="I172:J172"/>
    <mergeCell ref="K172:L172"/>
    <mergeCell ref="M172:N172"/>
    <mergeCell ref="G173:H173"/>
    <mergeCell ref="G174:H174"/>
    <mergeCell ref="K167:L167"/>
    <mergeCell ref="M167:N167"/>
    <mergeCell ref="I161:J161"/>
    <mergeCell ref="K161:L161"/>
    <mergeCell ref="G160:H160"/>
    <mergeCell ref="G166:H166"/>
    <mergeCell ref="I166:J166"/>
    <mergeCell ref="K166:L166"/>
    <mergeCell ref="M166:N166"/>
    <mergeCell ref="G163:H163"/>
    <mergeCell ref="I163:J163"/>
    <mergeCell ref="K163:L163"/>
    <mergeCell ref="G162:H162"/>
    <mergeCell ref="I162:J162"/>
    <mergeCell ref="K162:L162"/>
    <mergeCell ref="G176:H176"/>
    <mergeCell ref="G177:H177"/>
    <mergeCell ref="I173:J173"/>
    <mergeCell ref="I174:J174"/>
    <mergeCell ref="I175:J175"/>
    <mergeCell ref="G167:H167"/>
    <mergeCell ref="G168:H168"/>
    <mergeCell ref="G169:H169"/>
    <mergeCell ref="G170:H170"/>
    <mergeCell ref="G171:H171"/>
    <mergeCell ref="I167:J167"/>
    <mergeCell ref="I168:J168"/>
    <mergeCell ref="I169:J169"/>
    <mergeCell ref="I170:J170"/>
    <mergeCell ref="I171:J171"/>
    <mergeCell ref="K168:L168"/>
    <mergeCell ref="K169:L169"/>
    <mergeCell ref="K170:L170"/>
    <mergeCell ref="K171:L171"/>
    <mergeCell ref="M168:N168"/>
    <mergeCell ref="M169:N169"/>
    <mergeCell ref="M170:N170"/>
    <mergeCell ref="M171:N171"/>
    <mergeCell ref="G175:H175"/>
    <mergeCell ref="M173:N173"/>
    <mergeCell ref="M174:N174"/>
    <mergeCell ref="M175:N175"/>
    <mergeCell ref="M176:N176"/>
    <mergeCell ref="M177:N177"/>
    <mergeCell ref="I176:J176"/>
    <mergeCell ref="I177:J177"/>
    <mergeCell ref="K173:L173"/>
    <mergeCell ref="K174:L174"/>
    <mergeCell ref="K175:L175"/>
    <mergeCell ref="K176:L176"/>
    <mergeCell ref="K177:L177"/>
  </mergeCells>
  <printOptions horizontalCentered="1"/>
  <pageMargins left="0" right="0" top="0.39370078740157483" bottom="0.39370078740157483" header="0.15748031496062992" footer="0.15748031496062992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 дифференц.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2019-05-08T09:05:34Z</dcterms:modified>
</cp:coreProperties>
</file>